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<sst xmlns="http://schemas.openxmlformats.org/spreadsheetml/2006/main" count="817" uniqueCount="737">
  <si>
    <t>强转弱</t>
  </si>
  <si>
    <t>弱转强</t>
  </si>
  <si>
    <t>代码</t>
  </si>
  <si>
    <t>简称</t>
  </si>
  <si>
    <t>总市值</t>
  </si>
  <si>
    <t>上证50</t>
  </si>
  <si>
    <t>232137.34亿</t>
  </si>
  <si>
    <t>中证800</t>
  </si>
  <si>
    <t>696963.38亿</t>
  </si>
  <si>
    <t>持续增长</t>
  </si>
  <si>
    <t>77572.46亿</t>
  </si>
  <si>
    <t>上证指数</t>
  </si>
  <si>
    <t>637444.25亿</t>
  </si>
  <si>
    <t>AI智能体</t>
  </si>
  <si>
    <t>65007.94亿</t>
  </si>
  <si>
    <t>云计算</t>
  </si>
  <si>
    <t>54270.92亿</t>
  </si>
  <si>
    <t>新综指</t>
  </si>
  <si>
    <t>616588.81亿</t>
  </si>
  <si>
    <t>车联网</t>
  </si>
  <si>
    <t>53255.99亿</t>
  </si>
  <si>
    <t>Ａ股指数</t>
  </si>
  <si>
    <t>616314.38亿</t>
  </si>
  <si>
    <t>数据要素</t>
  </si>
  <si>
    <t>51575.09亿</t>
  </si>
  <si>
    <t>沪深300</t>
  </si>
  <si>
    <t>527780.81亿</t>
  </si>
  <si>
    <t>区块链</t>
  </si>
  <si>
    <t>46991.41亿</t>
  </si>
  <si>
    <t>汽车类</t>
  </si>
  <si>
    <t>44523.63亿</t>
  </si>
  <si>
    <t>MSCI成份</t>
  </si>
  <si>
    <t>516104.75亿</t>
  </si>
  <si>
    <t>全指医药</t>
  </si>
  <si>
    <t>41158.35亿</t>
  </si>
  <si>
    <t>大盘股</t>
  </si>
  <si>
    <t>488642.75亿</t>
  </si>
  <si>
    <t>定增股</t>
  </si>
  <si>
    <t>41006.88亿</t>
  </si>
  <si>
    <t>北上重仓</t>
  </si>
  <si>
    <t>440848.59亿</t>
  </si>
  <si>
    <t>信创</t>
  </si>
  <si>
    <t>40955.28亿</t>
  </si>
  <si>
    <t>基金重仓</t>
  </si>
  <si>
    <t>405800.72亿</t>
  </si>
  <si>
    <t>百度概念</t>
  </si>
  <si>
    <t>40652.77亿</t>
  </si>
  <si>
    <t>含H股</t>
  </si>
  <si>
    <t>282206.66亿</t>
  </si>
  <si>
    <t>新零售</t>
  </si>
  <si>
    <t>35270.45亿</t>
  </si>
  <si>
    <t>中证A100</t>
  </si>
  <si>
    <t>272998.84亿</t>
  </si>
  <si>
    <t>国产软件</t>
  </si>
  <si>
    <t>33181.30亿</t>
  </si>
  <si>
    <t>北京板块</t>
  </si>
  <si>
    <t>232361.17亿</t>
  </si>
  <si>
    <t>边缘计算</t>
  </si>
  <si>
    <t>27463.50亿</t>
  </si>
  <si>
    <t>机器人概念</t>
  </si>
  <si>
    <t>202934.28亿</t>
  </si>
  <si>
    <t>智慧政务</t>
  </si>
  <si>
    <t>27349.59亿</t>
  </si>
  <si>
    <t>通达信88</t>
  </si>
  <si>
    <t>188129.89亿</t>
  </si>
  <si>
    <t>智能交通</t>
  </si>
  <si>
    <t>25996.70亿</t>
  </si>
  <si>
    <t>低市盈率</t>
  </si>
  <si>
    <t>180568.64亿</t>
  </si>
  <si>
    <t>养老概念</t>
  </si>
  <si>
    <t>23688.25亿</t>
  </si>
  <si>
    <t>绩优股</t>
  </si>
  <si>
    <t>172982.30亿</t>
  </si>
  <si>
    <t>即将解禁</t>
  </si>
  <si>
    <t>20403.04亿</t>
  </si>
  <si>
    <t>人工智能</t>
  </si>
  <si>
    <t>170941.38亿</t>
  </si>
  <si>
    <t>家用电器</t>
  </si>
  <si>
    <t>18180.56亿</t>
  </si>
  <si>
    <t>社保重仓</t>
  </si>
  <si>
    <t>169721.86亿</t>
  </si>
  <si>
    <t>IP经济</t>
  </si>
  <si>
    <t>16643.15亿</t>
  </si>
  <si>
    <t>高分红股</t>
  </si>
  <si>
    <t>155508.75亿</t>
  </si>
  <si>
    <t>减速器</t>
  </si>
  <si>
    <t>16377.75亿</t>
  </si>
  <si>
    <t>保险重仓</t>
  </si>
  <si>
    <t>151194.58亿</t>
  </si>
  <si>
    <t>亏损股</t>
  </si>
  <si>
    <t>16269.39亿</t>
  </si>
  <si>
    <t>消费100</t>
  </si>
  <si>
    <t>149783.92亿</t>
  </si>
  <si>
    <t>食品饮料</t>
  </si>
  <si>
    <t>16181.08亿</t>
  </si>
  <si>
    <t>红利指数</t>
  </si>
  <si>
    <t>130248.42亿</t>
  </si>
  <si>
    <t>国资云</t>
  </si>
  <si>
    <t>14802.22亿</t>
  </si>
  <si>
    <t>央视50</t>
  </si>
  <si>
    <t>120694.48亿</t>
  </si>
  <si>
    <t>预制菜</t>
  </si>
  <si>
    <t>13672.81亿</t>
  </si>
  <si>
    <t>低市净率</t>
  </si>
  <si>
    <t>116537.54亿</t>
  </si>
  <si>
    <t>宠物经济</t>
  </si>
  <si>
    <t>13496.94亿</t>
  </si>
  <si>
    <t>深圳板块</t>
  </si>
  <si>
    <t>104896.76亿</t>
  </si>
  <si>
    <t>IT设备</t>
  </si>
  <si>
    <t>13230.79亿</t>
  </si>
  <si>
    <t>科创50</t>
  </si>
  <si>
    <t>104410.40亿</t>
  </si>
  <si>
    <t>含B股</t>
  </si>
  <si>
    <t>10789.21亿</t>
  </si>
  <si>
    <t>物联网</t>
  </si>
  <si>
    <t>100958.55亿</t>
  </si>
  <si>
    <t>交通设施</t>
  </si>
  <si>
    <t>9645.43亿</t>
  </si>
  <si>
    <t>无人驾驶</t>
  </si>
  <si>
    <t>88098.44亿</t>
  </si>
  <si>
    <t>免税概念</t>
  </si>
  <si>
    <t>9554.28亿</t>
  </si>
  <si>
    <t>人形机器人</t>
  </si>
  <si>
    <t>87748.46亿</t>
  </si>
  <si>
    <t>网红经济</t>
  </si>
  <si>
    <t>8972.82亿</t>
  </si>
  <si>
    <t>工业互联</t>
  </si>
  <si>
    <t>86586.92亿</t>
  </si>
  <si>
    <t>信托重仓</t>
  </si>
  <si>
    <t>8916.48亿</t>
  </si>
  <si>
    <t>低空经济</t>
  </si>
  <si>
    <t>82017.48亿</t>
  </si>
  <si>
    <t>电器仪表</t>
  </si>
  <si>
    <t>8657.53亿</t>
  </si>
  <si>
    <t>广东板块</t>
  </si>
  <si>
    <t>66826.58亿</t>
  </si>
  <si>
    <t>一体压铸</t>
  </si>
  <si>
    <t>8557.78亿</t>
  </si>
  <si>
    <t>小米概念</t>
  </si>
  <si>
    <t>63214.03亿</t>
  </si>
  <si>
    <t>高负债率</t>
  </si>
  <si>
    <t>7990.58亿</t>
  </si>
  <si>
    <t>含可转债</t>
  </si>
  <si>
    <t>60818.77亿</t>
  </si>
  <si>
    <t>次新超跌</t>
  </si>
  <si>
    <t>7723.24亿</t>
  </si>
  <si>
    <t>虚拟现实</t>
  </si>
  <si>
    <t>56190.38亿</t>
  </si>
  <si>
    <t>Web3概念</t>
  </si>
  <si>
    <t>7280.06亿</t>
  </si>
  <si>
    <t>智能穿戴</t>
  </si>
  <si>
    <t>51495.92亿</t>
  </si>
  <si>
    <t>工业软件</t>
  </si>
  <si>
    <t>6399.42亿</t>
  </si>
  <si>
    <t>算力租赁</t>
  </si>
  <si>
    <t>49322.12亿</t>
  </si>
  <si>
    <t>远程办公</t>
  </si>
  <si>
    <t>5472.05亿</t>
  </si>
  <si>
    <t>券商重仓</t>
  </si>
  <si>
    <t>48638.33亿</t>
  </si>
  <si>
    <t>地摊经济</t>
  </si>
  <si>
    <t>5413.22亿</t>
  </si>
  <si>
    <t>乡村振兴</t>
  </si>
  <si>
    <t>48512.52亿</t>
  </si>
  <si>
    <t>运输设备</t>
  </si>
  <si>
    <t>5020.74亿</t>
  </si>
  <si>
    <t>智能家居</t>
  </si>
  <si>
    <t>46935.58亿</t>
  </si>
  <si>
    <t>Sora概念</t>
  </si>
  <si>
    <t>4500.35亿</t>
  </si>
  <si>
    <t>小米汽车概念</t>
  </si>
  <si>
    <t>45039.25亿</t>
  </si>
  <si>
    <t>知识产权</t>
  </si>
  <si>
    <t>4075.21亿</t>
  </si>
  <si>
    <t>分拆上市预期</t>
  </si>
  <si>
    <t>43563.46亿</t>
  </si>
  <si>
    <t>吉林板块</t>
  </si>
  <si>
    <t>3824.80亿</t>
  </si>
  <si>
    <t>密集调研</t>
  </si>
  <si>
    <t>41222.07亿</t>
  </si>
  <si>
    <t>ETC概念</t>
  </si>
  <si>
    <t>3724.70亿</t>
  </si>
  <si>
    <t>户数增加</t>
  </si>
  <si>
    <t>36765.98亿</t>
  </si>
  <si>
    <t>EDA概念</t>
  </si>
  <si>
    <t>3483.73亿</t>
  </si>
  <si>
    <t>参股新股</t>
  </si>
  <si>
    <t>36383.48亿</t>
  </si>
  <si>
    <t>胎压监测</t>
  </si>
  <si>
    <t>3384.45亿</t>
  </si>
  <si>
    <t>商誉减值</t>
  </si>
  <si>
    <t>36263.12亿</t>
  </si>
  <si>
    <t>鸡肉</t>
  </si>
  <si>
    <t>2974.60亿</t>
  </si>
  <si>
    <t>电力</t>
  </si>
  <si>
    <t>35309.05亿</t>
  </si>
  <si>
    <t>旅游</t>
  </si>
  <si>
    <t>2900.29亿</t>
  </si>
  <si>
    <t>智能医疗</t>
  </si>
  <si>
    <t>35105.13亿</t>
  </si>
  <si>
    <t>文教休闲</t>
  </si>
  <si>
    <t>2801.91亿</t>
  </si>
  <si>
    <t>新型工业化</t>
  </si>
  <si>
    <t>33984.75亿</t>
  </si>
  <si>
    <t>知识付费</t>
  </si>
  <si>
    <t>2501.61亿</t>
  </si>
  <si>
    <t>雄安新区</t>
  </si>
  <si>
    <t>33225.33亿</t>
  </si>
  <si>
    <t>水务</t>
  </si>
  <si>
    <t>1386.64亿</t>
  </si>
  <si>
    <t>MCU芯片</t>
  </si>
  <si>
    <t>28729.05亿</t>
  </si>
  <si>
    <t>种业</t>
  </si>
  <si>
    <t>810.35亿</t>
  </si>
  <si>
    <t>华为汽车</t>
  </si>
  <si>
    <t>27141.34亿</t>
  </si>
  <si>
    <t>配股预案</t>
  </si>
  <si>
    <t>26.72亿</t>
  </si>
  <si>
    <t>无线耳机</t>
  </si>
  <si>
    <t>25805.03亿</t>
  </si>
  <si>
    <t>科创生物</t>
  </si>
  <si>
    <t>--</t>
  </si>
  <si>
    <t>PPP概念</t>
  </si>
  <si>
    <t>24536.91亿</t>
  </si>
  <si>
    <t>基金指数</t>
  </si>
  <si>
    <t>数字孪生</t>
  </si>
  <si>
    <t>24326.45亿</t>
  </si>
  <si>
    <t>中证银行</t>
  </si>
  <si>
    <t>安徽板块</t>
  </si>
  <si>
    <t>24149.78亿</t>
  </si>
  <si>
    <t>大盘价值</t>
  </si>
  <si>
    <t>上海自贸</t>
  </si>
  <si>
    <t>23394.53亿</t>
  </si>
  <si>
    <t>在线消费</t>
  </si>
  <si>
    <t>高铁</t>
  </si>
  <si>
    <t>23011.85亿</t>
  </si>
  <si>
    <t>长三角</t>
  </si>
  <si>
    <t>低安全分</t>
  </si>
  <si>
    <t>21221.44亿</t>
  </si>
  <si>
    <t>国证红利</t>
  </si>
  <si>
    <t>超清视频</t>
  </si>
  <si>
    <t>21107.91亿</t>
  </si>
  <si>
    <t>国证服务</t>
  </si>
  <si>
    <t>合成生物</t>
  </si>
  <si>
    <t>19844.92亿</t>
  </si>
  <si>
    <t>活跃可转债</t>
  </si>
  <si>
    <t>安防服务</t>
  </si>
  <si>
    <t>19747.54亿</t>
  </si>
  <si>
    <t>人脑工程</t>
  </si>
  <si>
    <t>18474.85亿</t>
  </si>
  <si>
    <t>湖南板块</t>
  </si>
  <si>
    <t>17900.14亿</t>
  </si>
  <si>
    <t>建筑</t>
  </si>
  <si>
    <t>17683.49亿</t>
  </si>
  <si>
    <t>新型城镇</t>
  </si>
  <si>
    <t>17195.07亿</t>
  </si>
  <si>
    <t>低价股</t>
  </si>
  <si>
    <t>16536.06亿</t>
  </si>
  <si>
    <t>仿制药</t>
  </si>
  <si>
    <t>16428.91亿</t>
  </si>
  <si>
    <t>中小银行</t>
  </si>
  <si>
    <t>16180.88亿</t>
  </si>
  <si>
    <t>网络游戏</t>
  </si>
  <si>
    <t>16107.34亿</t>
  </si>
  <si>
    <t>旅游概念</t>
  </si>
  <si>
    <t>15983.83亿</t>
  </si>
  <si>
    <t>被举牌</t>
  </si>
  <si>
    <t>15345.94亿</t>
  </si>
  <si>
    <t>中俄贸易</t>
  </si>
  <si>
    <t>14904.02亿</t>
  </si>
  <si>
    <t>航空</t>
  </si>
  <si>
    <t>14308.45亿</t>
  </si>
  <si>
    <t>肝炎概念</t>
  </si>
  <si>
    <t>14256.42亿</t>
  </si>
  <si>
    <t>减肥药</t>
  </si>
  <si>
    <t>13612.71亿</t>
  </si>
  <si>
    <t>医美概念</t>
  </si>
  <si>
    <t>12931.55亿</t>
  </si>
  <si>
    <t>军工信息化</t>
  </si>
  <si>
    <t>12722.00亿</t>
  </si>
  <si>
    <t>体育概念</t>
  </si>
  <si>
    <t>11813.55亿</t>
  </si>
  <si>
    <t>装配式建筑</t>
  </si>
  <si>
    <t>11264.19亿</t>
  </si>
  <si>
    <t>短剧游戏</t>
  </si>
  <si>
    <t>10463.10亿</t>
  </si>
  <si>
    <t>私募新进</t>
  </si>
  <si>
    <t>9412.72亿</t>
  </si>
  <si>
    <t>工程机械</t>
  </si>
  <si>
    <t>8537.86亿</t>
  </si>
  <si>
    <t>维生素</t>
  </si>
  <si>
    <t>8344.21亿</t>
  </si>
  <si>
    <t>地下管网</t>
  </si>
  <si>
    <t>8196.18亿</t>
  </si>
  <si>
    <t>垃圾分类</t>
  </si>
  <si>
    <t>7928.32亿</t>
  </si>
  <si>
    <t>拟增持</t>
  </si>
  <si>
    <t>7361.49亿</t>
  </si>
  <si>
    <t>高校背景</t>
  </si>
  <si>
    <t>7318.68亿</t>
  </si>
  <si>
    <t>幽门螺杆菌</t>
  </si>
  <si>
    <t>6632.56亿</t>
  </si>
  <si>
    <t>血氧仪</t>
  </si>
  <si>
    <t>6387.83亿</t>
  </si>
  <si>
    <t>小红书概念</t>
  </si>
  <si>
    <t>5931.02亿</t>
  </si>
  <si>
    <t>船舶</t>
  </si>
  <si>
    <t>5074.55亿</t>
  </si>
  <si>
    <t>多元金融</t>
  </si>
  <si>
    <t>5003.71亿</t>
  </si>
  <si>
    <t>广告包装</t>
  </si>
  <si>
    <t>4419.33亿</t>
  </si>
  <si>
    <t>家居用品</t>
  </si>
  <si>
    <t>4149.80亿</t>
  </si>
  <si>
    <t>股东增持</t>
  </si>
  <si>
    <t>4002.72亿</t>
  </si>
  <si>
    <t>西藏板块</t>
  </si>
  <si>
    <t>3123.49亿</t>
  </si>
  <si>
    <t>C2M概念</t>
  </si>
  <si>
    <t>2795.33亿</t>
  </si>
  <si>
    <t>NMN概念</t>
  </si>
  <si>
    <t>2557.89亿</t>
  </si>
  <si>
    <t>造纸</t>
  </si>
  <si>
    <t>2358.25亿</t>
  </si>
  <si>
    <t>数字水印</t>
  </si>
  <si>
    <t>2276.37亿</t>
  </si>
  <si>
    <t>壳资源</t>
  </si>
  <si>
    <t>1616.17亿</t>
  </si>
  <si>
    <t>博彩概念</t>
  </si>
  <si>
    <t>1368.04亿</t>
  </si>
  <si>
    <t>Ｂ股指数</t>
  </si>
  <si>
    <t>681.89亿</t>
  </si>
  <si>
    <t>酒店餐饮</t>
  </si>
  <si>
    <t>680.46亿</t>
  </si>
  <si>
    <t>水产品</t>
  </si>
  <si>
    <t>475.04亿</t>
  </si>
  <si>
    <t>上证中盘</t>
  </si>
  <si>
    <t>超大盘</t>
  </si>
  <si>
    <t>国企改革</t>
  </si>
  <si>
    <t>中证100</t>
  </si>
  <si>
    <t>深证50</t>
  </si>
  <si>
    <t>绿色电力</t>
  </si>
  <si>
    <t>国证价值</t>
  </si>
  <si>
    <t>新硬件</t>
  </si>
  <si>
    <t>深证价值</t>
  </si>
  <si>
    <t>深证治理</t>
  </si>
  <si>
    <t>国证治理</t>
  </si>
  <si>
    <t>深证ETF</t>
  </si>
  <si>
    <t>创价值</t>
  </si>
  <si>
    <t>文化指数</t>
  </si>
  <si>
    <t>创业小盘</t>
  </si>
  <si>
    <t>创业200</t>
  </si>
  <si>
    <t>活跃ETF</t>
  </si>
  <si>
    <t>上证综合全收益</t>
  </si>
  <si>
    <t>沪股通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</si>
  <si>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</si>
  <si>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</si>
  <si>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</si>
  <si>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</si>
  <si>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</si>
  <si>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</si>
  <si>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</si>
  <si>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</si>
  <si>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</si>
  <si>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</si>
  <si>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</si>
  <si>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</si>
  <si>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</si>
  <si>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</si>
  <si>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</si>
  <si>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</si>
  <si>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</si>
  <si>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</si>
  <si>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</si>
  <si>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</si>
  <si>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上证能源</t>
  </si>
  <si>
    <t>300能源</t>
  </si>
  <si>
    <t>综企指数</t>
  </si>
  <si>
    <t>1000能源</t>
  </si>
  <si>
    <t>180成长</t>
  </si>
  <si>
    <t>180R成长</t>
  </si>
  <si>
    <t>上证信息</t>
  </si>
  <si>
    <t>非周期</t>
  </si>
  <si>
    <t>上证F500</t>
  </si>
  <si>
    <t>中证信息</t>
  </si>
  <si>
    <t>乐富指数</t>
  </si>
  <si>
    <t>生物50</t>
  </si>
  <si>
    <t>国证农牧</t>
  </si>
  <si>
    <t>深证农业</t>
  </si>
  <si>
    <t>CSSW传媒</t>
  </si>
  <si>
    <t>国债指数</t>
  </si>
  <si>
    <t>企债指数</t>
  </si>
  <si>
    <t>沪公司债</t>
  </si>
  <si>
    <t>沪企债30</t>
  </si>
  <si>
    <t>5年信用</t>
  </si>
  <si>
    <t>380电信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</si>
  <si>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</si>
  <si>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</si>
  <si>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</si>
  <si>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</si>
  <si>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</si>
  <si>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</si>
  <si>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</si>
  <si>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大盘低波</t>
  </si>
  <si>
    <t>苏州率先</t>
  </si>
  <si>
    <t>专利领先</t>
  </si>
  <si>
    <t>商业指数</t>
  </si>
  <si>
    <t>地产指数</t>
  </si>
  <si>
    <t>综合指数</t>
  </si>
  <si>
    <t>上证180</t>
  </si>
  <si>
    <t>180金融</t>
  </si>
  <si>
    <t>治理指数</t>
  </si>
  <si>
    <t>180治理</t>
  </si>
  <si>
    <t>180基建</t>
  </si>
  <si>
    <t>180价值</t>
  </si>
  <si>
    <t>180R价值</t>
  </si>
  <si>
    <t>上证可选</t>
  </si>
  <si>
    <t>上证消费</t>
  </si>
  <si>
    <t>上证金融</t>
  </si>
  <si>
    <t>上证央企</t>
  </si>
  <si>
    <t>责任指数</t>
  </si>
  <si>
    <t>50等权</t>
  </si>
  <si>
    <t>50基本</t>
  </si>
  <si>
    <t>180基本</t>
  </si>
  <si>
    <t>上证海外</t>
  </si>
  <si>
    <t>全指价值</t>
  </si>
  <si>
    <t>全R价值</t>
  </si>
  <si>
    <t>上证沪企</t>
  </si>
  <si>
    <t>上证周期</t>
  </si>
  <si>
    <t>消费80</t>
  </si>
  <si>
    <t>可选等权</t>
  </si>
  <si>
    <t>消费等权</t>
  </si>
  <si>
    <t>金融等权</t>
  </si>
  <si>
    <t>上证下游</t>
  </si>
  <si>
    <t>上证F200</t>
  </si>
  <si>
    <t>沪消费品</t>
  </si>
  <si>
    <t>380可选</t>
  </si>
  <si>
    <t>380医药</t>
  </si>
  <si>
    <t>380金融</t>
  </si>
  <si>
    <t>180动态</t>
  </si>
  <si>
    <t>消费50</t>
  </si>
  <si>
    <t>180高贝</t>
  </si>
  <si>
    <t>优势消费</t>
  </si>
  <si>
    <t>消费领先</t>
  </si>
  <si>
    <t>市值百强</t>
  </si>
  <si>
    <t>沪互联+</t>
  </si>
  <si>
    <t>50AH优选</t>
  </si>
  <si>
    <t>科创ESG</t>
  </si>
  <si>
    <t>消费服务</t>
  </si>
  <si>
    <t>细分食品</t>
  </si>
  <si>
    <t>300高贝</t>
  </si>
  <si>
    <t>ESG 100</t>
  </si>
  <si>
    <t>300非银</t>
  </si>
  <si>
    <t>上海国企</t>
  </si>
  <si>
    <t>港中小企</t>
  </si>
  <si>
    <t>300可选</t>
  </si>
  <si>
    <t>300金融</t>
  </si>
  <si>
    <t>300信息</t>
  </si>
  <si>
    <t>300价值</t>
  </si>
  <si>
    <t>基本面50</t>
  </si>
  <si>
    <t>800可选</t>
  </si>
  <si>
    <t>中证消费</t>
  </si>
  <si>
    <t>中证金融</t>
  </si>
  <si>
    <t>内地消费</t>
  </si>
  <si>
    <t>内地地产</t>
  </si>
  <si>
    <t>300地产</t>
  </si>
  <si>
    <t>银河99</t>
  </si>
  <si>
    <t>基本200</t>
  </si>
  <si>
    <t>等权90</t>
  </si>
  <si>
    <t>800金融</t>
  </si>
  <si>
    <t>中证超大</t>
  </si>
  <si>
    <t>全指可选</t>
  </si>
  <si>
    <t>全指消费</t>
  </si>
  <si>
    <t>全指金融</t>
  </si>
  <si>
    <t>成份Ｂ指</t>
  </si>
  <si>
    <t>碳科技30</t>
  </si>
  <si>
    <t>深证Ｂ指</t>
  </si>
  <si>
    <t>农林指数</t>
  </si>
  <si>
    <t>批零指数</t>
  </si>
  <si>
    <t>运输指数</t>
  </si>
  <si>
    <t>IT指数</t>
  </si>
  <si>
    <t>金融指数</t>
  </si>
  <si>
    <t>创业低碳</t>
  </si>
  <si>
    <t>创业软件</t>
  </si>
  <si>
    <t>创新药械</t>
  </si>
  <si>
    <t>创医药</t>
  </si>
  <si>
    <t>大数据50</t>
  </si>
  <si>
    <t>AI 50</t>
  </si>
  <si>
    <t>区块链50</t>
  </si>
  <si>
    <t>国证A50</t>
  </si>
  <si>
    <t>巨潮100</t>
  </si>
  <si>
    <t>巨潮大盘</t>
  </si>
  <si>
    <t>深证责任</t>
  </si>
  <si>
    <t>皖江30</t>
  </si>
  <si>
    <t>创新示范</t>
  </si>
  <si>
    <t>深企综指</t>
  </si>
  <si>
    <t>分析师指数</t>
  </si>
  <si>
    <t>珠三角</t>
  </si>
  <si>
    <t>1000地产</t>
  </si>
  <si>
    <t>国证责任</t>
  </si>
  <si>
    <t>国证基金</t>
  </si>
  <si>
    <t>国证ETF</t>
  </si>
  <si>
    <t>1000可选</t>
  </si>
  <si>
    <t>1000消费</t>
  </si>
  <si>
    <t>1000金融</t>
  </si>
  <si>
    <t>国证新兴</t>
  </si>
  <si>
    <t>国证地产</t>
  </si>
  <si>
    <t>国证食品</t>
  </si>
  <si>
    <t>中经GDP</t>
  </si>
  <si>
    <t>大盘高贝</t>
  </si>
  <si>
    <t>国证高铁</t>
  </si>
  <si>
    <t>国证保证</t>
  </si>
  <si>
    <t>中关村50</t>
  </si>
  <si>
    <t>证券龙头</t>
  </si>
  <si>
    <t>央视成长</t>
  </si>
  <si>
    <t>央视责任</t>
  </si>
  <si>
    <t>央视生态</t>
  </si>
  <si>
    <t>深证可选</t>
  </si>
  <si>
    <t>深证消费</t>
  </si>
  <si>
    <t>深证金融</t>
  </si>
  <si>
    <t>深证地产</t>
  </si>
  <si>
    <t>100低波</t>
  </si>
  <si>
    <t>深消费50</t>
  </si>
  <si>
    <t>中小责任</t>
  </si>
  <si>
    <t>创业板V</t>
  </si>
  <si>
    <t>深互联网</t>
  </si>
  <si>
    <t>深成可选</t>
  </si>
  <si>
    <t>深成消费</t>
  </si>
  <si>
    <t>深成金融</t>
  </si>
  <si>
    <t>安防产业</t>
  </si>
  <si>
    <t>金融科技</t>
  </si>
  <si>
    <t>深证F60</t>
  </si>
  <si>
    <t>深证下游</t>
  </si>
  <si>
    <t>CSSW证券</t>
  </si>
  <si>
    <t>深主板50</t>
  </si>
  <si>
    <t>互联金融</t>
  </si>
  <si>
    <t>高铁产业</t>
  </si>
  <si>
    <t>保险主题</t>
  </si>
  <si>
    <t>养老产业</t>
  </si>
  <si>
    <t>300 金融</t>
  </si>
  <si>
    <t>800地产</t>
  </si>
  <si>
    <t>800非银</t>
  </si>
  <si>
    <t>移动互联</t>
  </si>
  <si>
    <t>证券公司</t>
  </si>
  <si>
    <t>地产等权</t>
  </si>
  <si>
    <t>中证酒</t>
  </si>
  <si>
    <t>信息安全</t>
  </si>
  <si>
    <t>中证白酒</t>
  </si>
  <si>
    <t>湾创100</t>
  </si>
  <si>
    <t>机器人产业</t>
  </si>
  <si>
    <t>南山50</t>
  </si>
  <si>
    <t>龙头家电</t>
  </si>
  <si>
    <t>湾创100R</t>
  </si>
  <si>
    <t>【数据引擎：奇衡DK阿赖耶识系统】情绪值</t>
  </si>
  <si>
    <t>CY00</t>
  </si>
  <si>
    <t>棉纱连续</t>
  </si>
  <si>
    <t>BR00</t>
  </si>
  <si>
    <t>丁二烯橡胶连续</t>
  </si>
  <si>
    <t>BUX00</t>
  </si>
  <si>
    <t>沥青连续</t>
  </si>
  <si>
    <t>FU00</t>
  </si>
  <si>
    <t>燃油连续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</si>
  <si>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</si>
  <si>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</si>
  <si>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</si>
  <si>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</si>
  <si>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</si>
  <si>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</si>
  <si>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</si>
  <si>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</si>
  <si>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</si>
  <si>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</si>
  <si>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</si>
  <si>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</si>
  <si>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</si>
  <si>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</si>
  <si>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</si>
  <si>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</si>
  <si>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</si>
  <si>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</si>
  <si>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</si>
  <si>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</si>
  <si>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</si>
  <si>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</si>
  <si>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</si>
  <si>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</si>
  <si>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</si>
  <si>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</si>
  <si>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</si>
  <si>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</si>
  <si>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</si>
  <si>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</si>
  <si>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</si>
  <si>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</si>
  <si>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</si>
  <si>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</si>
  <si>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</si>
  <si>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</si>
  <si>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</si>
  <si>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</si>
  <si>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TA00</t>
  </si>
  <si>
    <t>PTA连续</t>
  </si>
  <si>
    <t>LU00</t>
  </si>
  <si>
    <t>低硫燃油连续</t>
  </si>
  <si>
    <t>NR00</t>
  </si>
  <si>
    <t>20号胶连续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</si>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</sst>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"000016"</f>
        <v>000016</v>
      </c>
      <c r="B3" s="35" t="s">
        <v>5</v>
      </c>
      <c r="C3" s="35" t="s">
        <v>6</v>
      </c>
      <c r="D3" s="35" t="str">
        <f>"000906"</f>
        <v>000906</v>
      </c>
      <c r="E3" s="35" t="s">
        <v>7</v>
      </c>
      <c r="F3" s="35" t="s">
        <v>8</v>
      </c>
    </row>
    <row r="4" ht="13.5" spans="1:6">
      <c r="A4" s="35" t="str">
        <f>"880895"</f>
        <v>880895</v>
      </c>
      <c r="B4" s="35" t="s">
        <v>9</v>
      </c>
      <c r="C4" s="35" t="s">
        <v>10</v>
      </c>
      <c r="D4" s="35" t="str">
        <f>"000001"</f>
        <v>000001</v>
      </c>
      <c r="E4" s="35" t="s">
        <v>11</v>
      </c>
      <c r="F4" s="35" t="s">
        <v>12</v>
      </c>
    </row>
    <row r="5" ht="13.5" spans="1:6">
      <c r="A5" s="35" t="str">
        <f>"880732"</f>
        <v>880732</v>
      </c>
      <c r="B5" s="35" t="s">
        <v>13</v>
      </c>
      <c r="C5" s="35" t="s">
        <v>14</v>
      </c>
      <c r="D5" s="35" t="str">
        <f>"999999"</f>
        <v>999999</v>
      </c>
      <c r="E5" s="35" t="s">
        <v>11</v>
      </c>
      <c r="F5" s="35" t="s">
        <v>12</v>
      </c>
    </row>
    <row r="6" ht="13.5" spans="1:6">
      <c r="A6" s="35" t="str">
        <f>"880545"</f>
        <v>880545</v>
      </c>
      <c r="B6" s="35" t="s">
        <v>15</v>
      </c>
      <c r="C6" s="35" t="s">
        <v>16</v>
      </c>
      <c r="D6" s="35" t="str">
        <f>"000017"</f>
        <v>000017</v>
      </c>
      <c r="E6" s="35" t="s">
        <v>17</v>
      </c>
      <c r="F6" s="35" t="s">
        <v>18</v>
      </c>
    </row>
    <row r="7" ht="13.5" spans="1:6">
      <c r="A7" s="35" t="str">
        <f>"880552"</f>
        <v>880552</v>
      </c>
      <c r="B7" s="35" t="s">
        <v>19</v>
      </c>
      <c r="C7" s="35" t="s">
        <v>20</v>
      </c>
      <c r="D7" s="35" t="str">
        <f>"000002"</f>
        <v>000002</v>
      </c>
      <c r="E7" s="35" t="s">
        <v>21</v>
      </c>
      <c r="F7" s="35" t="s">
        <v>22</v>
      </c>
    </row>
    <row r="8" ht="13.5" spans="1:6">
      <c r="A8" s="35" t="str">
        <f>"880667"</f>
        <v>880667</v>
      </c>
      <c r="B8" s="35" t="s">
        <v>23</v>
      </c>
      <c r="C8" s="35" t="s">
        <v>24</v>
      </c>
      <c r="D8" s="35" t="str">
        <f>"000300"</f>
        <v>000300</v>
      </c>
      <c r="E8" s="35" t="s">
        <v>25</v>
      </c>
      <c r="F8" s="35" t="s">
        <v>26</v>
      </c>
    </row>
    <row r="9" ht="13.5" spans="1:6">
      <c r="A9" s="35" t="str">
        <f>"880946"</f>
        <v>880946</v>
      </c>
      <c r="B9" s="35" t="s">
        <v>27</v>
      </c>
      <c r="C9" s="35" t="s">
        <v>28</v>
      </c>
      <c r="D9" s="35" t="str">
        <f>"399300"</f>
        <v>399300</v>
      </c>
      <c r="E9" s="35" t="s">
        <v>25</v>
      </c>
      <c r="F9" s="35" t="s">
        <v>26</v>
      </c>
    </row>
    <row r="10" ht="13.5" spans="1:6">
      <c r="A10" s="35" t="str">
        <f>"880390"</f>
        <v>880390</v>
      </c>
      <c r="B10" s="35" t="s">
        <v>29</v>
      </c>
      <c r="C10" s="35" t="s">
        <v>30</v>
      </c>
      <c r="D10" s="35" t="str">
        <f>"880883"</f>
        <v>880883</v>
      </c>
      <c r="E10" s="35" t="s">
        <v>31</v>
      </c>
      <c r="F10" s="35" t="s">
        <v>32</v>
      </c>
    </row>
    <row r="11" ht="13.5" spans="1:6">
      <c r="A11" s="35" t="str">
        <f>"000991"</f>
        <v>000991</v>
      </c>
      <c r="B11" s="35" t="s">
        <v>33</v>
      </c>
      <c r="C11" s="35" t="s">
        <v>34</v>
      </c>
      <c r="D11" s="35" t="str">
        <f>"880821"</f>
        <v>880821</v>
      </c>
      <c r="E11" s="35" t="s">
        <v>35</v>
      </c>
      <c r="F11" s="35" t="s">
        <v>36</v>
      </c>
    </row>
    <row r="12" ht="13.5" spans="1:6">
      <c r="A12" s="35" t="str">
        <f>"880856"</f>
        <v>880856</v>
      </c>
      <c r="B12" s="35" t="s">
        <v>37</v>
      </c>
      <c r="C12" s="35" t="s">
        <v>38</v>
      </c>
      <c r="D12" s="35" t="str">
        <f>"880721"</f>
        <v>880721</v>
      </c>
      <c r="E12" s="35" t="s">
        <v>39</v>
      </c>
      <c r="F12" s="35" t="s">
        <v>40</v>
      </c>
    </row>
    <row r="13" ht="13.5" spans="1:6">
      <c r="A13" s="35" t="str">
        <f>"880762"</f>
        <v>880762</v>
      </c>
      <c r="B13" s="35" t="s">
        <v>41</v>
      </c>
      <c r="C13" s="35" t="s">
        <v>42</v>
      </c>
      <c r="D13" s="35" t="str">
        <f>"880801"</f>
        <v>880801</v>
      </c>
      <c r="E13" s="35" t="s">
        <v>43</v>
      </c>
      <c r="F13" s="35" t="s">
        <v>44</v>
      </c>
    </row>
    <row r="14" ht="13.5" spans="1:6">
      <c r="A14" s="35" t="str">
        <f>"880962"</f>
        <v>880962</v>
      </c>
      <c r="B14" s="35" t="s">
        <v>45</v>
      </c>
      <c r="C14" s="35" t="s">
        <v>46</v>
      </c>
      <c r="D14" s="35" t="str">
        <f>"880501"</f>
        <v>880501</v>
      </c>
      <c r="E14" s="35" t="s">
        <v>47</v>
      </c>
      <c r="F14" s="35" t="s">
        <v>48</v>
      </c>
    </row>
    <row r="15" ht="13.5" spans="1:6">
      <c r="A15" s="35" t="str">
        <f>"880572"</f>
        <v>880572</v>
      </c>
      <c r="B15" s="35" t="s">
        <v>49</v>
      </c>
      <c r="C15" s="35" t="s">
        <v>50</v>
      </c>
      <c r="D15" s="35" t="str">
        <f>"000903"</f>
        <v>000903</v>
      </c>
      <c r="E15" s="35" t="s">
        <v>51</v>
      </c>
      <c r="F15" s="35" t="s">
        <v>52</v>
      </c>
    </row>
    <row r="16" ht="13.5" spans="1:6">
      <c r="A16" s="35" t="str">
        <f>"880916"</f>
        <v>880916</v>
      </c>
      <c r="B16" s="35" t="s">
        <v>53</v>
      </c>
      <c r="C16" s="35" t="s">
        <v>54</v>
      </c>
      <c r="D16" s="35" t="str">
        <f>"880207"</f>
        <v>880207</v>
      </c>
      <c r="E16" s="35" t="s">
        <v>55</v>
      </c>
      <c r="F16" s="35" t="s">
        <v>56</v>
      </c>
    </row>
    <row r="17" ht="13.5" spans="1:6">
      <c r="A17" s="35" t="str">
        <f>"880739"</f>
        <v>880739</v>
      </c>
      <c r="B17" s="35" t="s">
        <v>57</v>
      </c>
      <c r="C17" s="35" t="s">
        <v>58</v>
      </c>
      <c r="D17" s="35" t="str">
        <f>"880904"</f>
        <v>880904</v>
      </c>
      <c r="E17" s="35" t="s">
        <v>59</v>
      </c>
      <c r="F17" s="35" t="s">
        <v>60</v>
      </c>
    </row>
    <row r="18" ht="13.5" spans="1:6">
      <c r="A18" s="35" t="str">
        <f>"880601"</f>
        <v>880601</v>
      </c>
      <c r="B18" s="35" t="s">
        <v>61</v>
      </c>
      <c r="C18" s="35" t="s">
        <v>62</v>
      </c>
      <c r="D18" s="35" t="str">
        <f>"880515"</f>
        <v>880515</v>
      </c>
      <c r="E18" s="35" t="s">
        <v>63</v>
      </c>
      <c r="F18" s="35" t="s">
        <v>64</v>
      </c>
    </row>
    <row r="19" ht="13.5" spans="1:6">
      <c r="A19" s="35" t="str">
        <f>"880580"</f>
        <v>880580</v>
      </c>
      <c r="B19" s="35" t="s">
        <v>65</v>
      </c>
      <c r="C19" s="35" t="s">
        <v>66</v>
      </c>
      <c r="D19" s="35" t="str">
        <f>"880826"</f>
        <v>880826</v>
      </c>
      <c r="E19" s="35" t="s">
        <v>67</v>
      </c>
      <c r="F19" s="35" t="s">
        <v>68</v>
      </c>
    </row>
    <row r="20" ht="13.5" spans="1:6">
      <c r="A20" s="35" t="str">
        <f>"880597"</f>
        <v>880597</v>
      </c>
      <c r="B20" s="35" t="s">
        <v>69</v>
      </c>
      <c r="C20" s="35" t="s">
        <v>70</v>
      </c>
      <c r="D20" s="35" t="str">
        <f>"880835"</f>
        <v>880835</v>
      </c>
      <c r="E20" s="35" t="s">
        <v>71</v>
      </c>
      <c r="F20" s="35" t="s">
        <v>72</v>
      </c>
    </row>
    <row r="21" ht="13.5" spans="1:6">
      <c r="A21" s="35" t="str">
        <f>"880897"</f>
        <v>880897</v>
      </c>
      <c r="B21" s="35" t="s">
        <v>73</v>
      </c>
      <c r="C21" s="35" t="s">
        <v>74</v>
      </c>
      <c r="D21" s="35" t="str">
        <f>"880948"</f>
        <v>880948</v>
      </c>
      <c r="E21" s="35" t="s">
        <v>75</v>
      </c>
      <c r="F21" s="35" t="s">
        <v>76</v>
      </c>
    </row>
    <row r="22" ht="13.5" spans="1:6">
      <c r="A22" s="35" t="str">
        <f>"880387"</f>
        <v>880387</v>
      </c>
      <c r="B22" s="35" t="s">
        <v>77</v>
      </c>
      <c r="C22" s="35" t="s">
        <v>78</v>
      </c>
      <c r="D22" s="35" t="str">
        <f>"880806"</f>
        <v>880806</v>
      </c>
      <c r="E22" s="35" t="s">
        <v>79</v>
      </c>
      <c r="F22" s="35" t="s">
        <v>80</v>
      </c>
    </row>
    <row r="23" ht="13.5" spans="1:6">
      <c r="A23" s="35" t="str">
        <f>"880617"</f>
        <v>880617</v>
      </c>
      <c r="B23" s="35" t="s">
        <v>81</v>
      </c>
      <c r="C23" s="35" t="s">
        <v>82</v>
      </c>
      <c r="D23" s="35" t="str">
        <f>"880526"</f>
        <v>880526</v>
      </c>
      <c r="E23" s="35" t="s">
        <v>83</v>
      </c>
      <c r="F23" s="35" t="s">
        <v>84</v>
      </c>
    </row>
    <row r="24" ht="13.5" spans="1:6">
      <c r="A24" s="35" t="str">
        <f>"880675"</f>
        <v>880675</v>
      </c>
      <c r="B24" s="35" t="s">
        <v>85</v>
      </c>
      <c r="C24" s="35" t="s">
        <v>86</v>
      </c>
      <c r="D24" s="35" t="str">
        <f>"880805"</f>
        <v>880805</v>
      </c>
      <c r="E24" s="35" t="s">
        <v>87</v>
      </c>
      <c r="F24" s="35" t="s">
        <v>88</v>
      </c>
    </row>
    <row r="25" ht="13.5" spans="1:6">
      <c r="A25" s="35" t="str">
        <f>"880833"</f>
        <v>880833</v>
      </c>
      <c r="B25" s="35" t="s">
        <v>89</v>
      </c>
      <c r="C25" s="35" t="s">
        <v>90</v>
      </c>
      <c r="D25" s="35" t="str">
        <f>"399364"</f>
        <v>399364</v>
      </c>
      <c r="E25" s="35" t="s">
        <v>91</v>
      </c>
      <c r="F25" s="35" t="s">
        <v>92</v>
      </c>
    </row>
    <row r="26" ht="13.5" spans="1:6">
      <c r="A26" s="35" t="str">
        <f>"880372"</f>
        <v>880372</v>
      </c>
      <c r="B26" s="35" t="s">
        <v>93</v>
      </c>
      <c r="C26" s="35" t="s">
        <v>94</v>
      </c>
      <c r="D26" s="35" t="str">
        <f>"000015"</f>
        <v>000015</v>
      </c>
      <c r="E26" s="35" t="s">
        <v>95</v>
      </c>
      <c r="F26" s="35" t="s">
        <v>96</v>
      </c>
    </row>
    <row r="27" ht="13.5" spans="1:6">
      <c r="A27" s="35" t="str">
        <f>"880746"</f>
        <v>880746</v>
      </c>
      <c r="B27" s="35" t="s">
        <v>97</v>
      </c>
      <c r="C27" s="35" t="s">
        <v>98</v>
      </c>
      <c r="D27" s="35" t="str">
        <f>"399550"</f>
        <v>399550</v>
      </c>
      <c r="E27" s="35" t="s">
        <v>99</v>
      </c>
      <c r="F27" s="35" t="s">
        <v>100</v>
      </c>
    </row>
    <row r="28" ht="13.5" spans="1:6">
      <c r="A28" s="35" t="str">
        <f>"880760"</f>
        <v>880760</v>
      </c>
      <c r="B28" s="35" t="s">
        <v>101</v>
      </c>
      <c r="C28" s="35" t="s">
        <v>102</v>
      </c>
      <c r="D28" s="35" t="str">
        <f>"880829"</f>
        <v>880829</v>
      </c>
      <c r="E28" s="35" t="s">
        <v>103</v>
      </c>
      <c r="F28" s="35" t="s">
        <v>104</v>
      </c>
    </row>
    <row r="29" ht="13.5" spans="1:6">
      <c r="A29" s="35" t="str">
        <f>"880707"</f>
        <v>880707</v>
      </c>
      <c r="B29" s="35" t="s">
        <v>105</v>
      </c>
      <c r="C29" s="35" t="s">
        <v>106</v>
      </c>
      <c r="D29" s="35" t="str">
        <f>"880218"</f>
        <v>880218</v>
      </c>
      <c r="E29" s="35" t="s">
        <v>107</v>
      </c>
      <c r="F29" s="35" t="s">
        <v>108</v>
      </c>
    </row>
    <row r="30" ht="13.5" spans="1:6">
      <c r="A30" s="35" t="str">
        <f>"880489"</f>
        <v>880489</v>
      </c>
      <c r="B30" s="35" t="s">
        <v>109</v>
      </c>
      <c r="C30" s="35" t="s">
        <v>110</v>
      </c>
      <c r="D30" s="35" t="str">
        <f>"000688"</f>
        <v>000688</v>
      </c>
      <c r="E30" s="35" t="s">
        <v>111</v>
      </c>
      <c r="F30" s="35" t="s">
        <v>112</v>
      </c>
    </row>
    <row r="31" ht="13.5" spans="1:6">
      <c r="A31" s="35" t="str">
        <f>"880502"</f>
        <v>880502</v>
      </c>
      <c r="B31" s="35" t="s">
        <v>113</v>
      </c>
      <c r="C31" s="35" t="s">
        <v>114</v>
      </c>
      <c r="D31" s="35" t="str">
        <f>"880533"</f>
        <v>880533</v>
      </c>
      <c r="E31" s="35" t="s">
        <v>115</v>
      </c>
      <c r="F31" s="35" t="s">
        <v>116</v>
      </c>
    </row>
    <row r="32" ht="13.5" spans="1:6">
      <c r="A32" s="35" t="str">
        <f>"880465"</f>
        <v>880465</v>
      </c>
      <c r="B32" s="35" t="s">
        <v>117</v>
      </c>
      <c r="C32" s="35" t="s">
        <v>118</v>
      </c>
      <c r="D32" s="35" t="str">
        <f>"880944"</f>
        <v>880944</v>
      </c>
      <c r="E32" s="35" t="s">
        <v>119</v>
      </c>
      <c r="F32" s="35" t="s">
        <v>120</v>
      </c>
    </row>
    <row r="33" ht="13.5" spans="1:6">
      <c r="A33" s="35" t="str">
        <f>"880602"</f>
        <v>880602</v>
      </c>
      <c r="B33" s="35" t="s">
        <v>121</v>
      </c>
      <c r="C33" s="35" t="s">
        <v>122</v>
      </c>
      <c r="D33" s="35" t="str">
        <f>"880703"</f>
        <v>880703</v>
      </c>
      <c r="E33" s="35" t="s">
        <v>123</v>
      </c>
      <c r="F33" s="35" t="s">
        <v>124</v>
      </c>
    </row>
    <row r="34" ht="13.5" spans="1:6">
      <c r="A34" s="35" t="str">
        <f>"880791"</f>
        <v>880791</v>
      </c>
      <c r="B34" s="35" t="s">
        <v>125</v>
      </c>
      <c r="C34" s="35" t="s">
        <v>126</v>
      </c>
      <c r="D34" s="35" t="str">
        <f>"880957"</f>
        <v>880957</v>
      </c>
      <c r="E34" s="35" t="s">
        <v>127</v>
      </c>
      <c r="F34" s="35" t="s">
        <v>128</v>
      </c>
    </row>
    <row r="35" ht="13.5" spans="1:6">
      <c r="A35" s="35" t="str">
        <f>"880804"</f>
        <v>880804</v>
      </c>
      <c r="B35" s="35" t="s">
        <v>129</v>
      </c>
      <c r="C35" s="35" t="s">
        <v>130</v>
      </c>
      <c r="D35" s="35" t="str">
        <f>"880522"</f>
        <v>880522</v>
      </c>
      <c r="E35" s="35" t="s">
        <v>131</v>
      </c>
      <c r="F35" s="35" t="s">
        <v>132</v>
      </c>
    </row>
    <row r="36" ht="13.5" spans="1:6">
      <c r="A36" s="35" t="str">
        <f>"880448"</f>
        <v>880448</v>
      </c>
      <c r="B36" s="35" t="s">
        <v>133</v>
      </c>
      <c r="C36" s="35" t="s">
        <v>134</v>
      </c>
      <c r="D36" s="35" t="str">
        <f>"880212"</f>
        <v>880212</v>
      </c>
      <c r="E36" s="35" t="s">
        <v>135</v>
      </c>
      <c r="F36" s="35" t="s">
        <v>136</v>
      </c>
    </row>
    <row r="37" ht="13.5" spans="1:6">
      <c r="A37" s="35" t="str">
        <f>"880631"</f>
        <v>880631</v>
      </c>
      <c r="B37" s="35" t="s">
        <v>137</v>
      </c>
      <c r="C37" s="35" t="s">
        <v>138</v>
      </c>
      <c r="D37" s="35" t="str">
        <f>"880961"</f>
        <v>880961</v>
      </c>
      <c r="E37" s="35" t="s">
        <v>139</v>
      </c>
      <c r="F37" s="35" t="s">
        <v>140</v>
      </c>
    </row>
    <row r="38" ht="13.5" spans="1:6">
      <c r="A38" s="35" t="str">
        <f>"880790"</f>
        <v>880790</v>
      </c>
      <c r="B38" s="35" t="s">
        <v>141</v>
      </c>
      <c r="C38" s="35" t="s">
        <v>142</v>
      </c>
      <c r="D38" s="35" t="str">
        <f>"880524"</f>
        <v>880524</v>
      </c>
      <c r="E38" s="35" t="s">
        <v>143</v>
      </c>
      <c r="F38" s="35" t="s">
        <v>144</v>
      </c>
    </row>
    <row r="39" ht="13.5" spans="1:6">
      <c r="A39" s="35" t="str">
        <f>"880887"</f>
        <v>880887</v>
      </c>
      <c r="B39" s="35" t="s">
        <v>145</v>
      </c>
      <c r="C39" s="35" t="s">
        <v>146</v>
      </c>
      <c r="D39" s="35" t="str">
        <f>"880942"</f>
        <v>880942</v>
      </c>
      <c r="E39" s="35" t="s">
        <v>147</v>
      </c>
      <c r="F39" s="35" t="s">
        <v>148</v>
      </c>
    </row>
    <row r="40" ht="13.5" spans="1:6">
      <c r="A40" s="35" t="str">
        <f>"880643"</f>
        <v>880643</v>
      </c>
      <c r="B40" s="35" t="s">
        <v>149</v>
      </c>
      <c r="C40" s="35" t="s">
        <v>150</v>
      </c>
      <c r="D40" s="35" t="str">
        <f>"880589"</f>
        <v>880589</v>
      </c>
      <c r="E40" s="35" t="s">
        <v>151</v>
      </c>
      <c r="F40" s="35" t="s">
        <v>152</v>
      </c>
    </row>
    <row r="41" ht="13.5" spans="1:6">
      <c r="A41" s="35" t="str">
        <f>"880660"</f>
        <v>880660</v>
      </c>
      <c r="B41" s="35" t="s">
        <v>153</v>
      </c>
      <c r="C41" s="35" t="s">
        <v>154</v>
      </c>
      <c r="D41" s="35" t="str">
        <f>"880669"</f>
        <v>880669</v>
      </c>
      <c r="E41" s="35" t="s">
        <v>155</v>
      </c>
      <c r="F41" s="35" t="s">
        <v>156</v>
      </c>
    </row>
    <row r="42" ht="13.5" spans="1:6">
      <c r="A42" s="35" t="str">
        <f>"880794"</f>
        <v>880794</v>
      </c>
      <c r="B42" s="35" t="s">
        <v>157</v>
      </c>
      <c r="C42" s="35" t="s">
        <v>158</v>
      </c>
      <c r="D42" s="35" t="str">
        <f>"880803"</f>
        <v>880803</v>
      </c>
      <c r="E42" s="35" t="s">
        <v>159</v>
      </c>
      <c r="F42" s="35" t="s">
        <v>160</v>
      </c>
    </row>
    <row r="43" ht="13.5" spans="1:6">
      <c r="A43" s="35" t="str">
        <f>"880719"</f>
        <v>880719</v>
      </c>
      <c r="B43" s="35" t="s">
        <v>161</v>
      </c>
      <c r="C43" s="35" t="s">
        <v>162</v>
      </c>
      <c r="D43" s="35" t="str">
        <f>"880955"</f>
        <v>880955</v>
      </c>
      <c r="E43" s="35" t="s">
        <v>163</v>
      </c>
      <c r="F43" s="35" t="s">
        <v>164</v>
      </c>
    </row>
    <row r="44" ht="13.5" spans="1:6">
      <c r="A44" s="35" t="str">
        <f>"880432"</f>
        <v>880432</v>
      </c>
      <c r="B44" s="35" t="s">
        <v>165</v>
      </c>
      <c r="C44" s="35" t="s">
        <v>166</v>
      </c>
      <c r="D44" s="35" t="str">
        <f>"880906"</f>
        <v>880906</v>
      </c>
      <c r="E44" s="35" t="s">
        <v>167</v>
      </c>
      <c r="F44" s="35" t="s">
        <v>168</v>
      </c>
    </row>
    <row r="45" ht="13.5" spans="1:6">
      <c r="A45" s="35" t="str">
        <f>"880701"</f>
        <v>880701</v>
      </c>
      <c r="B45" s="35" t="s">
        <v>169</v>
      </c>
      <c r="C45" s="35" t="s">
        <v>170</v>
      </c>
      <c r="D45" s="35" t="str">
        <f>"880696"</f>
        <v>880696</v>
      </c>
      <c r="E45" s="35" t="s">
        <v>171</v>
      </c>
      <c r="F45" s="35" t="s">
        <v>172</v>
      </c>
    </row>
    <row r="46" ht="13.5" spans="1:6">
      <c r="A46" s="35" t="str">
        <f>"880959"</f>
        <v>880959</v>
      </c>
      <c r="B46" s="35" t="s">
        <v>173</v>
      </c>
      <c r="C46" s="35" t="s">
        <v>174</v>
      </c>
      <c r="D46" s="35" t="str">
        <f>"880970"</f>
        <v>880970</v>
      </c>
      <c r="E46" s="35" t="s">
        <v>175</v>
      </c>
      <c r="F46" s="35" t="s">
        <v>176</v>
      </c>
    </row>
    <row r="47" ht="13.5" spans="1:6">
      <c r="A47" s="35" t="str">
        <f>"880203"</f>
        <v>880203</v>
      </c>
      <c r="B47" s="35" t="s">
        <v>177</v>
      </c>
      <c r="C47" s="35" t="s">
        <v>178</v>
      </c>
      <c r="D47" s="35" t="str">
        <f>"880816"</f>
        <v>880816</v>
      </c>
      <c r="E47" s="35" t="s">
        <v>179</v>
      </c>
      <c r="F47" s="35" t="s">
        <v>180</v>
      </c>
    </row>
    <row r="48" ht="13.5" spans="1:6">
      <c r="A48" s="35" t="str">
        <f>"880713"</f>
        <v>880713</v>
      </c>
      <c r="B48" s="35" t="s">
        <v>181</v>
      </c>
      <c r="C48" s="35" t="s">
        <v>182</v>
      </c>
      <c r="D48" s="35" t="str">
        <f>"880876"</f>
        <v>880876</v>
      </c>
      <c r="E48" s="35" t="s">
        <v>183</v>
      </c>
      <c r="F48" s="35" t="s">
        <v>184</v>
      </c>
    </row>
    <row r="49" ht="13.5" spans="1:6">
      <c r="A49" s="35" t="str">
        <f>"880637"</f>
        <v>880637</v>
      </c>
      <c r="B49" s="35" t="s">
        <v>185</v>
      </c>
      <c r="C49" s="35" t="s">
        <v>186</v>
      </c>
      <c r="D49" s="35" t="str">
        <f>"880852"</f>
        <v>880852</v>
      </c>
      <c r="E49" s="35" t="s">
        <v>187</v>
      </c>
      <c r="F49" s="35" t="s">
        <v>188</v>
      </c>
    </row>
    <row r="50" ht="13.5" spans="1:6">
      <c r="A50" s="35" t="str">
        <f>"880968"</f>
        <v>880968</v>
      </c>
      <c r="B50" s="35" t="s">
        <v>189</v>
      </c>
      <c r="C50" s="35" t="s">
        <v>190</v>
      </c>
      <c r="D50" s="35" t="str">
        <f>"880817"</f>
        <v>880817</v>
      </c>
      <c r="E50" s="35" t="s">
        <v>191</v>
      </c>
      <c r="F50" s="35" t="s">
        <v>192</v>
      </c>
    </row>
    <row r="51" ht="13.5" spans="1:6">
      <c r="A51" s="35" t="str">
        <f>"880764"</f>
        <v>880764</v>
      </c>
      <c r="B51" s="35" t="s">
        <v>193</v>
      </c>
      <c r="C51" s="35" t="s">
        <v>194</v>
      </c>
      <c r="D51" s="35" t="str">
        <f>"880305"</f>
        <v>880305</v>
      </c>
      <c r="E51" s="35" t="s">
        <v>195</v>
      </c>
      <c r="F51" s="35" t="s">
        <v>196</v>
      </c>
    </row>
    <row r="52" ht="13.5" spans="1:6">
      <c r="A52" s="35" t="str">
        <f>"880424"</f>
        <v>880424</v>
      </c>
      <c r="B52" s="35" t="s">
        <v>197</v>
      </c>
      <c r="C52" s="35" t="s">
        <v>198</v>
      </c>
      <c r="D52" s="35" t="str">
        <f>"880933"</f>
        <v>880933</v>
      </c>
      <c r="E52" s="35" t="s">
        <v>199</v>
      </c>
      <c r="F52" s="35" t="s">
        <v>200</v>
      </c>
    </row>
    <row r="53" ht="13.5" spans="1:6">
      <c r="A53" s="35" t="str">
        <f>"880422"</f>
        <v>880422</v>
      </c>
      <c r="B53" s="35" t="s">
        <v>201</v>
      </c>
      <c r="C53" s="35" t="s">
        <v>202</v>
      </c>
      <c r="D53" s="35" t="str">
        <f>"880688"</f>
        <v>880688</v>
      </c>
      <c r="E53" s="35" t="s">
        <v>203</v>
      </c>
      <c r="F53" s="35" t="s">
        <v>204</v>
      </c>
    </row>
    <row r="54" ht="13.5" spans="1:6">
      <c r="A54" s="35" t="str">
        <f>"880668"</f>
        <v>880668</v>
      </c>
      <c r="B54" s="35" t="s">
        <v>205</v>
      </c>
      <c r="C54" s="35" t="s">
        <v>206</v>
      </c>
      <c r="D54" s="35" t="str">
        <f>"880911"</f>
        <v>880911</v>
      </c>
      <c r="E54" s="35" t="s">
        <v>207</v>
      </c>
      <c r="F54" s="35" t="s">
        <v>208</v>
      </c>
    </row>
    <row r="55" ht="13.5" spans="1:6">
      <c r="A55" s="35" t="str">
        <f>"880454"</f>
        <v>880454</v>
      </c>
      <c r="B55" s="35" t="s">
        <v>209</v>
      </c>
      <c r="C55" s="35" t="s">
        <v>210</v>
      </c>
      <c r="D55" s="35" t="str">
        <f>"880726"</f>
        <v>880726</v>
      </c>
      <c r="E55" s="35" t="s">
        <v>211</v>
      </c>
      <c r="F55" s="35" t="s">
        <v>212</v>
      </c>
    </row>
    <row r="56" ht="13.5" spans="1:6">
      <c r="A56" s="35" t="str">
        <f>"880710"</f>
        <v>880710</v>
      </c>
      <c r="B56" s="35" t="s">
        <v>213</v>
      </c>
      <c r="C56" s="35" t="s">
        <v>214</v>
      </c>
      <c r="D56" s="35" t="str">
        <f>"880686"</f>
        <v>880686</v>
      </c>
      <c r="E56" s="35" t="s">
        <v>215</v>
      </c>
      <c r="F56" s="35" t="s">
        <v>216</v>
      </c>
    </row>
    <row r="57" ht="13.5" spans="1:6">
      <c r="A57" s="35" t="str">
        <f>"880890"</f>
        <v>880890</v>
      </c>
      <c r="B57" s="35" t="s">
        <v>217</v>
      </c>
      <c r="C57" s="35" t="s">
        <v>218</v>
      </c>
      <c r="D57" s="35" t="str">
        <f>"880969"</f>
        <v>880969</v>
      </c>
      <c r="E57" s="35" t="s">
        <v>219</v>
      </c>
      <c r="F57" s="35" t="s">
        <v>220</v>
      </c>
    </row>
    <row r="58" ht="13.5" spans="1:6">
      <c r="A58" s="35" t="str">
        <f>"000683"</f>
        <v>000683</v>
      </c>
      <c r="B58" s="35" t="s">
        <v>221</v>
      </c>
      <c r="C58" s="35" t="s">
        <v>222</v>
      </c>
      <c r="D58" s="35" t="str">
        <f>"880940"</f>
        <v>880940</v>
      </c>
      <c r="E58" s="35" t="s">
        <v>223</v>
      </c>
      <c r="F58" s="35" t="s">
        <v>224</v>
      </c>
    </row>
    <row r="59" ht="13.5" spans="1:6">
      <c r="A59" s="35" t="str">
        <f>"000011"</f>
        <v>000011</v>
      </c>
      <c r="B59" s="35" t="s">
        <v>225</v>
      </c>
      <c r="C59" s="35" t="s">
        <v>222</v>
      </c>
      <c r="D59" s="35" t="str">
        <f>"880738"</f>
        <v>880738</v>
      </c>
      <c r="E59" s="35" t="s">
        <v>226</v>
      </c>
      <c r="F59" s="35" t="s">
        <v>227</v>
      </c>
    </row>
    <row r="60" ht="13.5" spans="1:6">
      <c r="A60" s="35" t="str">
        <f>"399986"</f>
        <v>399986</v>
      </c>
      <c r="B60" s="35" t="s">
        <v>228</v>
      </c>
      <c r="C60" s="35" t="s">
        <v>222</v>
      </c>
      <c r="D60" s="35" t="str">
        <f>"880224"</f>
        <v>880224</v>
      </c>
      <c r="E60" s="35" t="s">
        <v>229</v>
      </c>
      <c r="F60" s="35" t="s">
        <v>230</v>
      </c>
    </row>
    <row r="61" ht="13.5" spans="1:6">
      <c r="A61" s="35" t="str">
        <f>"399373"</f>
        <v>399373</v>
      </c>
      <c r="B61" s="35" t="s">
        <v>231</v>
      </c>
      <c r="C61" s="35" t="s">
        <v>222</v>
      </c>
      <c r="D61" s="35" t="str">
        <f>"880591"</f>
        <v>880591</v>
      </c>
      <c r="E61" s="35" t="s">
        <v>232</v>
      </c>
      <c r="F61" s="35" t="s">
        <v>233</v>
      </c>
    </row>
    <row r="62" ht="13.5" spans="1:6">
      <c r="A62" s="35" t="str">
        <f>"399361"</f>
        <v>399361</v>
      </c>
      <c r="B62" s="35" t="s">
        <v>234</v>
      </c>
      <c r="C62" s="35" t="s">
        <v>222</v>
      </c>
      <c r="D62" s="35" t="str">
        <f>"880525"</f>
        <v>880525</v>
      </c>
      <c r="E62" s="35" t="s">
        <v>235</v>
      </c>
      <c r="F62" s="35" t="s">
        <v>236</v>
      </c>
    </row>
    <row r="63" ht="13.5" spans="1:6">
      <c r="A63" s="35" t="str">
        <f>"399355"</f>
        <v>399355</v>
      </c>
      <c r="B63" s="35" t="s">
        <v>237</v>
      </c>
      <c r="C63" s="35" t="s">
        <v>222</v>
      </c>
      <c r="D63" s="35" t="str">
        <f>"880531"</f>
        <v>880531</v>
      </c>
      <c r="E63" s="35" t="s">
        <v>238</v>
      </c>
      <c r="F63" s="35" t="s">
        <v>239</v>
      </c>
    </row>
    <row r="64" ht="13.5" spans="1:6">
      <c r="A64" s="35" t="str">
        <f>"399321"</f>
        <v>399321</v>
      </c>
      <c r="B64" s="35" t="s">
        <v>240</v>
      </c>
      <c r="C64" s="35" t="s">
        <v>222</v>
      </c>
      <c r="D64" s="35" t="str">
        <f>"880965"</f>
        <v>880965</v>
      </c>
      <c r="E64" s="35" t="s">
        <v>241</v>
      </c>
      <c r="F64" s="35" t="s">
        <v>242</v>
      </c>
    </row>
    <row r="65" ht="13.5" spans="1:6">
      <c r="A65" s="35" t="str">
        <f>"399320"</f>
        <v>399320</v>
      </c>
      <c r="B65" s="35" t="s">
        <v>243</v>
      </c>
      <c r="C65" s="35" t="s">
        <v>222</v>
      </c>
      <c r="D65" s="35" t="str">
        <f>"880530"</f>
        <v>880530</v>
      </c>
      <c r="E65" s="35" t="s">
        <v>244</v>
      </c>
      <c r="F65" s="35" t="s">
        <v>245</v>
      </c>
    </row>
    <row r="66" ht="13.5" spans="1:6">
      <c r="A66" s="35" t="str">
        <f>"880677"</f>
        <v>880677</v>
      </c>
      <c r="B66" s="35" t="s">
        <v>246</v>
      </c>
      <c r="C66" s="35" t="s">
        <v>222</v>
      </c>
      <c r="D66" s="35" t="str">
        <f>"880577"</f>
        <v>880577</v>
      </c>
      <c r="E66" s="35" t="s">
        <v>247</v>
      </c>
      <c r="F66" s="35" t="s">
        <v>248</v>
      </c>
    </row>
    <row r="67" ht="13.5" spans="1:6">
      <c r="A67" s="36"/>
      <c r="B67" s="36"/>
      <c r="C67" s="36"/>
      <c r="D67" s="35" t="str">
        <f>"880733"</f>
        <v>880733</v>
      </c>
      <c r="E67" s="35" t="s">
        <v>249</v>
      </c>
      <c r="F67" s="35" t="s">
        <v>250</v>
      </c>
    </row>
    <row r="68" ht="13.5" spans="1:6">
      <c r="A68" s="36"/>
      <c r="B68" s="36"/>
      <c r="C68" s="36"/>
      <c r="D68" s="35" t="str">
        <f>"880221"</f>
        <v>880221</v>
      </c>
      <c r="E68" s="35" t="s">
        <v>251</v>
      </c>
      <c r="F68" s="35" t="s">
        <v>252</v>
      </c>
    </row>
    <row r="69" ht="13.5" spans="1:6">
      <c r="A69" s="36"/>
      <c r="B69" s="36"/>
      <c r="C69" s="36"/>
      <c r="D69" s="35" t="str">
        <f>"880476"</f>
        <v>880476</v>
      </c>
      <c r="E69" s="35" t="s">
        <v>253</v>
      </c>
      <c r="F69" s="35" t="s">
        <v>254</v>
      </c>
    </row>
    <row r="70" ht="13.5" spans="1:6">
      <c r="A70" s="36"/>
      <c r="B70" s="36"/>
      <c r="C70" s="36"/>
      <c r="D70" s="35" t="str">
        <f>"880624"</f>
        <v>880624</v>
      </c>
      <c r="E70" s="35" t="s">
        <v>255</v>
      </c>
      <c r="F70" s="35" t="s">
        <v>256</v>
      </c>
    </row>
    <row r="71" ht="13.5" spans="1:6">
      <c r="A71" s="36"/>
      <c r="B71" s="36"/>
      <c r="C71" s="36"/>
      <c r="D71" s="35" t="str">
        <f>"880879"</f>
        <v>880879</v>
      </c>
      <c r="E71" s="35" t="s">
        <v>257</v>
      </c>
      <c r="F71" s="35" t="s">
        <v>258</v>
      </c>
    </row>
    <row r="72" ht="13.5" spans="1:6">
      <c r="A72" s="36"/>
      <c r="B72" s="36"/>
      <c r="C72" s="36"/>
      <c r="D72" s="35" t="str">
        <f>"880960"</f>
        <v>880960</v>
      </c>
      <c r="E72" s="35" t="s">
        <v>259</v>
      </c>
      <c r="F72" s="35" t="s">
        <v>260</v>
      </c>
    </row>
    <row r="73" ht="13.5" spans="1:6">
      <c r="A73" s="36"/>
      <c r="B73" s="36"/>
      <c r="C73" s="36"/>
      <c r="D73" s="35" t="str">
        <f>"880875"</f>
        <v>880875</v>
      </c>
      <c r="E73" s="35" t="s">
        <v>261</v>
      </c>
      <c r="F73" s="35" t="s">
        <v>262</v>
      </c>
    </row>
    <row r="74" ht="13.5" spans="1:6">
      <c r="A74" s="36"/>
      <c r="B74" s="36"/>
      <c r="C74" s="36"/>
      <c r="D74" s="35" t="str">
        <f>"880590"</f>
        <v>880590</v>
      </c>
      <c r="E74" s="35" t="s">
        <v>263</v>
      </c>
      <c r="F74" s="35" t="s">
        <v>264</v>
      </c>
    </row>
    <row r="75" ht="13.5" spans="1:6">
      <c r="A75" s="36"/>
      <c r="B75" s="36"/>
      <c r="C75" s="36"/>
      <c r="D75" s="35" t="str">
        <f>"880651"</f>
        <v>880651</v>
      </c>
      <c r="E75" s="35" t="s">
        <v>265</v>
      </c>
      <c r="F75" s="35" t="s">
        <v>266</v>
      </c>
    </row>
    <row r="76" ht="13.5" spans="1:6">
      <c r="A76" s="36"/>
      <c r="B76" s="36"/>
      <c r="C76" s="36"/>
      <c r="D76" s="35" t="str">
        <f>"880848"</f>
        <v>880848</v>
      </c>
      <c r="E76" s="35" t="s">
        <v>267</v>
      </c>
      <c r="F76" s="35" t="s">
        <v>268</v>
      </c>
    </row>
    <row r="77" ht="13.5" spans="1:6">
      <c r="A77" s="36"/>
      <c r="B77" s="36"/>
      <c r="C77" s="36"/>
      <c r="D77" s="35" t="str">
        <f>"880610"</f>
        <v>880610</v>
      </c>
      <c r="E77" s="35" t="s">
        <v>269</v>
      </c>
      <c r="F77" s="35" t="s">
        <v>270</v>
      </c>
    </row>
    <row r="78" ht="13.5" spans="1:6">
      <c r="A78" s="36"/>
      <c r="B78" s="36"/>
      <c r="C78" s="36"/>
      <c r="D78" s="35" t="str">
        <f>"880430"</f>
        <v>880430</v>
      </c>
      <c r="E78" s="35" t="s">
        <v>271</v>
      </c>
      <c r="F78" s="35" t="s">
        <v>272</v>
      </c>
    </row>
    <row r="79" ht="13.5" spans="1:6">
      <c r="A79" s="36"/>
      <c r="B79" s="36"/>
      <c r="C79" s="36"/>
      <c r="D79" s="35" t="str">
        <f>"880623"</f>
        <v>880623</v>
      </c>
      <c r="E79" s="35" t="s">
        <v>273</v>
      </c>
      <c r="F79" s="35" t="s">
        <v>274</v>
      </c>
    </row>
    <row r="80" ht="13.5" spans="1:6">
      <c r="A80" s="36"/>
      <c r="B80" s="36"/>
      <c r="C80" s="36"/>
      <c r="D80" s="35" t="str">
        <f>"880681"</f>
        <v>880681</v>
      </c>
      <c r="E80" s="35" t="s">
        <v>275</v>
      </c>
      <c r="F80" s="35" t="s">
        <v>276</v>
      </c>
    </row>
    <row r="81" ht="13.5" spans="1:6">
      <c r="A81" s="36"/>
      <c r="B81" s="36"/>
      <c r="C81" s="36"/>
      <c r="D81" s="35" t="str">
        <f>"880973"</f>
        <v>880973</v>
      </c>
      <c r="E81" s="35" t="s">
        <v>277</v>
      </c>
      <c r="F81" s="35" t="s">
        <v>278</v>
      </c>
    </row>
    <row r="82" ht="16.5" spans="1:6">
      <c r="A82" s="24"/>
      <c r="B82" s="24"/>
      <c r="C82" s="24"/>
      <c r="D82" s="35" t="str">
        <f>"880528"</f>
        <v>880528</v>
      </c>
      <c r="E82" s="35" t="s">
        <v>279</v>
      </c>
      <c r="F82" s="35" t="s">
        <v>280</v>
      </c>
    </row>
    <row r="83" ht="16.5" spans="1:6">
      <c r="A83" s="24"/>
      <c r="B83" s="24"/>
      <c r="C83" s="24"/>
      <c r="D83" s="35" t="str">
        <f>"880596"</f>
        <v>880596</v>
      </c>
      <c r="E83" s="35" t="s">
        <v>281</v>
      </c>
      <c r="F83" s="35" t="s">
        <v>282</v>
      </c>
    </row>
    <row r="84" ht="16.5" spans="1:6">
      <c r="A84" s="24"/>
      <c r="B84" s="24"/>
      <c r="C84" s="24"/>
      <c r="D84" s="35" t="str">
        <f>"880605"</f>
        <v>880605</v>
      </c>
      <c r="E84" s="35" t="s">
        <v>283</v>
      </c>
      <c r="F84" s="35" t="s">
        <v>284</v>
      </c>
    </row>
    <row r="85" ht="16.5" spans="1:6">
      <c r="A85" s="24"/>
      <c r="B85" s="24"/>
      <c r="C85" s="24"/>
      <c r="D85" s="35" t="str">
        <f>"880692"</f>
        <v>880692</v>
      </c>
      <c r="E85" s="35" t="s">
        <v>285</v>
      </c>
      <c r="F85" s="35" t="s">
        <v>286</v>
      </c>
    </row>
    <row r="86" ht="16.5" spans="1:6">
      <c r="A86" s="24"/>
      <c r="B86" s="24"/>
      <c r="C86" s="24"/>
      <c r="D86" s="35" t="str">
        <f>"880648"</f>
        <v>880648</v>
      </c>
      <c r="E86" s="35" t="s">
        <v>287</v>
      </c>
      <c r="F86" s="35" t="s">
        <v>288</v>
      </c>
    </row>
    <row r="87" ht="16.5" spans="1:6">
      <c r="A87" s="24"/>
      <c r="B87" s="24"/>
      <c r="C87" s="24"/>
      <c r="D87" s="35" t="str">
        <f>"880447"</f>
        <v>880447</v>
      </c>
      <c r="E87" s="35" t="s">
        <v>289</v>
      </c>
      <c r="F87" s="35" t="s">
        <v>290</v>
      </c>
    </row>
    <row r="88" ht="16.5" spans="1:6">
      <c r="A88" s="24"/>
      <c r="B88" s="24"/>
      <c r="C88" s="24"/>
      <c r="D88" s="35" t="str">
        <f>"880929"</f>
        <v>880929</v>
      </c>
      <c r="E88" s="35" t="s">
        <v>291</v>
      </c>
      <c r="F88" s="35" t="s">
        <v>292</v>
      </c>
    </row>
    <row r="89" ht="16.5" spans="1:6">
      <c r="A89" s="24"/>
      <c r="B89" s="24"/>
      <c r="C89" s="24"/>
      <c r="D89" s="35" t="str">
        <f>"880724"</f>
        <v>880724</v>
      </c>
      <c r="E89" s="35" t="s">
        <v>293</v>
      </c>
      <c r="F89" s="35" t="s">
        <v>294</v>
      </c>
    </row>
    <row r="90" ht="16.5" spans="1:6">
      <c r="A90" s="24"/>
      <c r="B90" s="24"/>
      <c r="C90" s="24"/>
      <c r="D90" s="35" t="str">
        <f>"880926"</f>
        <v>880926</v>
      </c>
      <c r="E90" s="35" t="s">
        <v>295</v>
      </c>
      <c r="F90" s="35" t="s">
        <v>296</v>
      </c>
    </row>
    <row r="91" ht="16.5" spans="1:6">
      <c r="A91" s="24"/>
      <c r="B91" s="24"/>
      <c r="C91" s="24"/>
      <c r="D91" s="35" t="str">
        <f>"880814"</f>
        <v>880814</v>
      </c>
      <c r="E91" s="35" t="s">
        <v>297</v>
      </c>
      <c r="F91" s="35" t="s">
        <v>298</v>
      </c>
    </row>
    <row r="92" ht="16.5" spans="1:6">
      <c r="A92" s="24"/>
      <c r="B92" s="24"/>
      <c r="C92" s="24"/>
      <c r="D92" s="35" t="str">
        <f>"880562"</f>
        <v>880562</v>
      </c>
      <c r="E92" s="35" t="s">
        <v>299</v>
      </c>
      <c r="F92" s="35" t="s">
        <v>300</v>
      </c>
    </row>
    <row r="93" ht="16.5" spans="1:6">
      <c r="A93" s="24"/>
      <c r="B93" s="24"/>
      <c r="C93" s="24"/>
      <c r="D93" s="35" t="str">
        <f>"880766"</f>
        <v>880766</v>
      </c>
      <c r="E93" s="35" t="s">
        <v>301</v>
      </c>
      <c r="F93" s="35" t="s">
        <v>302</v>
      </c>
    </row>
    <row r="94" ht="16.5" spans="1:6">
      <c r="A94" s="24"/>
      <c r="B94" s="24"/>
      <c r="C94" s="24"/>
      <c r="D94" s="35" t="str">
        <f>"880650"</f>
        <v>880650</v>
      </c>
      <c r="E94" s="35" t="s">
        <v>303</v>
      </c>
      <c r="F94" s="35" t="s">
        <v>304</v>
      </c>
    </row>
    <row r="95" ht="16.5" spans="1:6">
      <c r="A95" s="24"/>
      <c r="B95" s="24"/>
      <c r="C95" s="24"/>
      <c r="D95" s="35" t="str">
        <f>"880718"</f>
        <v>880718</v>
      </c>
      <c r="E95" s="35" t="s">
        <v>305</v>
      </c>
      <c r="F95" s="35" t="s">
        <v>306</v>
      </c>
    </row>
    <row r="96" ht="16.5" spans="1:6">
      <c r="A96" s="24"/>
      <c r="B96" s="24"/>
      <c r="C96" s="24"/>
      <c r="D96" s="35" t="str">
        <f>"880431"</f>
        <v>880431</v>
      </c>
      <c r="E96" s="35" t="s">
        <v>307</v>
      </c>
      <c r="F96" s="35" t="s">
        <v>308</v>
      </c>
    </row>
    <row r="97" ht="16.5" spans="1:6">
      <c r="A97" s="24"/>
      <c r="B97" s="24"/>
      <c r="C97" s="24"/>
      <c r="D97" s="35" t="str">
        <f>"880474"</f>
        <v>880474</v>
      </c>
      <c r="E97" s="35" t="s">
        <v>309</v>
      </c>
      <c r="F97" s="35" t="s">
        <v>310</v>
      </c>
    </row>
    <row r="98" ht="16.5" spans="1:6">
      <c r="A98" s="24"/>
      <c r="B98" s="24"/>
      <c r="C98" s="24"/>
      <c r="D98" s="35" t="str">
        <f>"880421"</f>
        <v>880421</v>
      </c>
      <c r="E98" s="35" t="s">
        <v>311</v>
      </c>
      <c r="F98" s="35" t="s">
        <v>312</v>
      </c>
    </row>
    <row r="99" ht="16.5" spans="1:6">
      <c r="A99" s="24"/>
      <c r="B99" s="24"/>
      <c r="C99" s="24"/>
      <c r="D99" s="35" t="str">
        <f>"880399"</f>
        <v>880399</v>
      </c>
      <c r="E99" s="35" t="s">
        <v>313</v>
      </c>
      <c r="F99" s="35" t="s">
        <v>314</v>
      </c>
    </row>
    <row r="100" ht="16.5" spans="1:6">
      <c r="A100" s="24"/>
      <c r="B100" s="24"/>
      <c r="C100" s="24"/>
      <c r="D100" s="35" t="str">
        <f>"880807"</f>
        <v>880807</v>
      </c>
      <c r="E100" s="35" t="s">
        <v>315</v>
      </c>
      <c r="F100" s="35" t="s">
        <v>316</v>
      </c>
    </row>
    <row r="101" ht="16.5" spans="1:6">
      <c r="A101" s="24"/>
      <c r="B101" s="24"/>
      <c r="C101" s="24"/>
      <c r="D101" s="35" t="str">
        <f>"880231"</f>
        <v>880231</v>
      </c>
      <c r="E101" s="35" t="s">
        <v>317</v>
      </c>
      <c r="F101" s="35" t="s">
        <v>318</v>
      </c>
    </row>
    <row r="102" ht="16.5" spans="1:6">
      <c r="A102" s="24"/>
      <c r="B102" s="24"/>
      <c r="C102" s="24"/>
      <c r="D102" s="35" t="str">
        <f>"880717"</f>
        <v>880717</v>
      </c>
      <c r="E102" s="35" t="s">
        <v>319</v>
      </c>
      <c r="F102" s="35" t="s">
        <v>320</v>
      </c>
    </row>
    <row r="103" ht="16.5" spans="1:6">
      <c r="A103" s="24"/>
      <c r="B103" s="24"/>
      <c r="C103" s="24"/>
      <c r="D103" s="35" t="str">
        <f>"880745"</f>
        <v>880745</v>
      </c>
      <c r="E103" s="35" t="s">
        <v>321</v>
      </c>
      <c r="F103" s="35" t="s">
        <v>322</v>
      </c>
    </row>
    <row r="104" ht="16.5" spans="1:6">
      <c r="A104" s="24"/>
      <c r="B104" s="24"/>
      <c r="C104" s="24"/>
      <c r="D104" s="35" t="str">
        <f>"880350"</f>
        <v>880350</v>
      </c>
      <c r="E104" s="35" t="s">
        <v>323</v>
      </c>
      <c r="F104" s="35" t="s">
        <v>324</v>
      </c>
    </row>
    <row r="105" ht="16.5" spans="1:6">
      <c r="A105" s="24"/>
      <c r="B105" s="24"/>
      <c r="C105" s="24"/>
      <c r="D105" s="35" t="str">
        <f>"880657"</f>
        <v>880657</v>
      </c>
      <c r="E105" s="35" t="s">
        <v>325</v>
      </c>
      <c r="F105" s="35" t="s">
        <v>326</v>
      </c>
    </row>
    <row r="106" ht="16.5" spans="1:6">
      <c r="A106" s="24"/>
      <c r="B106" s="24"/>
      <c r="C106" s="24"/>
      <c r="D106" s="35" t="str">
        <f>"880702"</f>
        <v>880702</v>
      </c>
      <c r="E106" s="35" t="s">
        <v>327</v>
      </c>
      <c r="F106" s="35" t="s">
        <v>328</v>
      </c>
    </row>
    <row r="107" ht="16.5" spans="1:6">
      <c r="A107" s="24"/>
      <c r="B107" s="24"/>
      <c r="C107" s="24"/>
      <c r="D107" s="35" t="str">
        <f>"880598"</f>
        <v>880598</v>
      </c>
      <c r="E107" s="35" t="s">
        <v>329</v>
      </c>
      <c r="F107" s="35" t="s">
        <v>330</v>
      </c>
    </row>
    <row r="108" ht="16.5" spans="1:6">
      <c r="A108" s="24"/>
      <c r="B108" s="24"/>
      <c r="C108" s="24"/>
      <c r="D108" s="35" t="str">
        <f>"000003"</f>
        <v>000003</v>
      </c>
      <c r="E108" s="35" t="s">
        <v>331</v>
      </c>
      <c r="F108" s="35" t="s">
        <v>332</v>
      </c>
    </row>
    <row r="109" ht="16.5" spans="1:6">
      <c r="A109" s="24"/>
      <c r="B109" s="24"/>
      <c r="C109" s="24"/>
      <c r="D109" s="35" t="str">
        <f>"880423"</f>
        <v>880423</v>
      </c>
      <c r="E109" s="35" t="s">
        <v>333</v>
      </c>
      <c r="F109" s="35" t="s">
        <v>334</v>
      </c>
    </row>
    <row r="110" ht="16.5" spans="1:6">
      <c r="A110" s="24"/>
      <c r="B110" s="24"/>
      <c r="C110" s="24"/>
      <c r="D110" s="35" t="str">
        <f>"880903"</f>
        <v>880903</v>
      </c>
      <c r="E110" s="35" t="s">
        <v>335</v>
      </c>
      <c r="F110" s="35" t="s">
        <v>336</v>
      </c>
    </row>
    <row r="111" ht="16.5" spans="1:6">
      <c r="A111" s="24"/>
      <c r="B111" s="24"/>
      <c r="C111" s="24"/>
      <c r="D111" s="35" t="str">
        <f>"000044"</f>
        <v>000044</v>
      </c>
      <c r="E111" s="35" t="s">
        <v>337</v>
      </c>
      <c r="F111" s="35" t="s">
        <v>222</v>
      </c>
    </row>
    <row r="112" ht="16.5" spans="1:6">
      <c r="A112" s="24"/>
      <c r="B112" s="24"/>
      <c r="C112" s="24"/>
      <c r="D112" s="35" t="str">
        <f>"000043"</f>
        <v>000043</v>
      </c>
      <c r="E112" s="35" t="s">
        <v>338</v>
      </c>
      <c r="F112" s="35" t="s">
        <v>222</v>
      </c>
    </row>
    <row r="113" ht="16.5" spans="1:6">
      <c r="A113" s="24"/>
      <c r="B113" s="24"/>
      <c r="C113" s="24"/>
      <c r="D113" s="35" t="str">
        <f>"999997"</f>
        <v>999997</v>
      </c>
      <c r="E113" s="35" t="s">
        <v>331</v>
      </c>
      <c r="F113" s="35" t="s">
        <v>222</v>
      </c>
    </row>
    <row r="114" ht="16.5" spans="1:6">
      <c r="A114" s="24"/>
      <c r="B114" s="24"/>
      <c r="C114" s="24"/>
      <c r="D114" s="35" t="str">
        <f>"999998"</f>
        <v>999998</v>
      </c>
      <c r="E114" s="35" t="s">
        <v>21</v>
      </c>
      <c r="F114" s="35" t="s">
        <v>222</v>
      </c>
    </row>
    <row r="115" ht="16.5" spans="1:6">
      <c r="A115" s="24"/>
      <c r="B115" s="24"/>
      <c r="C115" s="24"/>
      <c r="D115" s="35" t="str">
        <f>"399974"</f>
        <v>399974</v>
      </c>
      <c r="E115" s="35" t="s">
        <v>339</v>
      </c>
      <c r="F115" s="35" t="s">
        <v>222</v>
      </c>
    </row>
    <row r="116" ht="16.5" spans="1:6">
      <c r="A116" s="24"/>
      <c r="B116" s="24"/>
      <c r="C116" s="24"/>
      <c r="D116" s="35" t="str">
        <f>"399903"</f>
        <v>399903</v>
      </c>
      <c r="E116" s="35" t="s">
        <v>340</v>
      </c>
      <c r="F116" s="35" t="s">
        <v>222</v>
      </c>
    </row>
    <row r="117" ht="16.5" spans="1:6">
      <c r="A117" s="24"/>
      <c r="B117" s="24"/>
      <c r="C117" s="24"/>
      <c r="D117" s="35" t="str">
        <f>"399850"</f>
        <v>399850</v>
      </c>
      <c r="E117" s="35" t="s">
        <v>341</v>
      </c>
      <c r="F117" s="35" t="s">
        <v>222</v>
      </c>
    </row>
    <row r="118" ht="16.5" spans="1:6">
      <c r="A118" s="24"/>
      <c r="B118" s="24"/>
      <c r="C118" s="24"/>
      <c r="D118" s="35" t="str">
        <f>"399438"</f>
        <v>399438</v>
      </c>
      <c r="E118" s="35" t="s">
        <v>342</v>
      </c>
      <c r="F118" s="35" t="s">
        <v>222</v>
      </c>
    </row>
    <row r="119" ht="16.5" spans="1:6">
      <c r="A119" s="24"/>
      <c r="B119" s="24"/>
      <c r="C119" s="24"/>
      <c r="D119" s="35" t="str">
        <f>"399371"</f>
        <v>399371</v>
      </c>
      <c r="E119" s="35" t="s">
        <v>343</v>
      </c>
      <c r="F119" s="35" t="s">
        <v>222</v>
      </c>
    </row>
    <row r="120" ht="16.5" spans="1:6">
      <c r="A120" s="24"/>
      <c r="B120" s="24"/>
      <c r="C120" s="24"/>
      <c r="D120" s="35" t="str">
        <f>"399360"</f>
        <v>399360</v>
      </c>
      <c r="E120" s="35" t="s">
        <v>344</v>
      </c>
      <c r="F120" s="35" t="s">
        <v>222</v>
      </c>
    </row>
    <row r="121" ht="16.5" spans="1:6">
      <c r="A121" s="24"/>
      <c r="B121" s="24"/>
      <c r="C121" s="24"/>
      <c r="D121" s="35" t="str">
        <f>"399348"</f>
        <v>399348</v>
      </c>
      <c r="E121" s="35" t="s">
        <v>345</v>
      </c>
      <c r="F121" s="35" t="s">
        <v>222</v>
      </c>
    </row>
    <row r="122" ht="16.5" spans="1:6">
      <c r="A122" s="24"/>
      <c r="B122" s="24"/>
      <c r="C122" s="24"/>
      <c r="D122" s="35" t="str">
        <f>"399328"</f>
        <v>399328</v>
      </c>
      <c r="E122" s="35" t="s">
        <v>346</v>
      </c>
      <c r="F122" s="35" t="s">
        <v>222</v>
      </c>
    </row>
    <row r="123" ht="16.5" spans="1:6">
      <c r="A123" s="24"/>
      <c r="B123" s="24"/>
      <c r="C123" s="24"/>
      <c r="D123" s="35" t="str">
        <f>"399322"</f>
        <v>399322</v>
      </c>
      <c r="E123" s="35" t="s">
        <v>347</v>
      </c>
      <c r="F123" s="35" t="s">
        <v>222</v>
      </c>
    </row>
    <row r="124" ht="16.5" spans="1:6">
      <c r="A124" s="24"/>
      <c r="B124" s="24"/>
      <c r="C124" s="24"/>
      <c r="D124" s="35" t="str">
        <f>"399306"</f>
        <v>399306</v>
      </c>
      <c r="E124" s="35" t="s">
        <v>348</v>
      </c>
      <c r="F124" s="35" t="s">
        <v>222</v>
      </c>
    </row>
    <row r="125" ht="16.5" spans="1:6">
      <c r="A125" s="24"/>
      <c r="B125" s="24"/>
      <c r="C125" s="24"/>
      <c r="D125" s="35" t="str">
        <f>"399295"</f>
        <v>399295</v>
      </c>
      <c r="E125" s="35" t="s">
        <v>349</v>
      </c>
      <c r="F125" s="35" t="s">
        <v>222</v>
      </c>
    </row>
    <row r="126" ht="16.5" spans="1:6">
      <c r="A126" s="24"/>
      <c r="B126" s="24"/>
      <c r="C126" s="24"/>
      <c r="D126" s="35" t="str">
        <f>"399248"</f>
        <v>399248</v>
      </c>
      <c r="E126" s="35" t="s">
        <v>350</v>
      </c>
      <c r="F126" s="35" t="s">
        <v>222</v>
      </c>
    </row>
    <row r="127" ht="16.5" spans="1:6">
      <c r="A127" s="24"/>
      <c r="B127" s="24"/>
      <c r="C127" s="24"/>
      <c r="D127" s="35" t="str">
        <f>"399020"</f>
        <v>399020</v>
      </c>
      <c r="E127" s="35" t="s">
        <v>351</v>
      </c>
      <c r="F127" s="35" t="s">
        <v>222</v>
      </c>
    </row>
    <row r="128" ht="16.5" spans="1:6">
      <c r="A128" s="24"/>
      <c r="B128" s="24"/>
      <c r="C128" s="24"/>
      <c r="D128" s="35" t="str">
        <f>"399019"</f>
        <v>399019</v>
      </c>
      <c r="E128" s="35" t="s">
        <v>352</v>
      </c>
      <c r="F128" s="35" t="s">
        <v>222</v>
      </c>
    </row>
    <row r="129" ht="16.5" spans="1:6">
      <c r="A129" s="24"/>
      <c r="B129" s="24"/>
      <c r="C129" s="24"/>
      <c r="D129" s="35" t="str">
        <f>"880676"</f>
        <v>880676</v>
      </c>
      <c r="E129" s="35" t="s">
        <v>353</v>
      </c>
      <c r="F129" s="35" t="s">
        <v>222</v>
      </c>
    </row>
    <row r="130" ht="16.5" spans="1:6">
      <c r="A130" s="24"/>
      <c r="B130" s="24"/>
      <c r="C130" s="24"/>
      <c r="D130" s="35" t="str">
        <f>"000888"</f>
        <v>000888</v>
      </c>
      <c r="E130" s="35" t="s">
        <v>354</v>
      </c>
      <c r="F130" s="35" t="s">
        <v>222</v>
      </c>
    </row>
    <row r="131" ht="16.5" spans="1:6">
      <c r="A131" s="24"/>
      <c r="B131" s="24"/>
      <c r="C131" s="24"/>
      <c r="D131" s="35" t="str">
        <f>"000159"</f>
        <v>000159</v>
      </c>
      <c r="E131" s="35" t="s">
        <v>355</v>
      </c>
      <c r="F131" s="35" t="s">
        <v>222</v>
      </c>
    </row>
    <row r="132" ht="16.5" spans="1:6">
      <c r="A132" s="24"/>
      <c r="B132" s="24"/>
      <c r="C132" s="24"/>
      <c r="D132" s="36"/>
      <c r="E132" s="36"/>
      <c r="F132" s="36"/>
    </row>
    <row r="133" ht="16.5" spans="1:6">
      <c r="A133" s="24"/>
      <c r="B133" s="24"/>
      <c r="C133" s="24"/>
      <c r="D133" s="36"/>
      <c r="E133" s="36"/>
      <c r="F133" s="36"/>
    </row>
    <row r="134" ht="16.5" spans="1:6">
      <c r="A134" s="24"/>
      <c r="B134" s="24"/>
      <c r="C134" s="24"/>
      <c r="D134" s="36"/>
      <c r="E134" s="36"/>
      <c r="F134" s="36"/>
    </row>
    <row r="135" ht="16.5" spans="1:6">
      <c r="A135" s="24"/>
      <c r="B135" s="24"/>
      <c r="C135" s="24"/>
      <c r="D135" s="36"/>
      <c r="E135" s="36"/>
      <c r="F135" s="36"/>
    </row>
    <row r="136" ht="16.5" spans="1:6">
      <c r="A136" s="24"/>
      <c r="B136" s="24"/>
      <c r="C136" s="24"/>
      <c r="D136" s="36"/>
      <c r="E136" s="36"/>
      <c r="F136" s="36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0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356</v>
      </c>
      <c r="B1" s="2"/>
      <c r="C1" s="2"/>
      <c r="D1" s="2"/>
      <c r="E1" s="2"/>
      <c r="F1" s="2"/>
      <c r="G1" s="2"/>
      <c r="H1" s="2"/>
      <c r="I1" s="2"/>
      <c r="J1" s="2"/>
      <c r="K1" s="1" t="s">
        <v>357</v>
      </c>
      <c r="L1" s="1"/>
      <c r="M1" s="1"/>
      <c r="N1" s="1"/>
      <c r="O1" s="1"/>
      <c r="P1" s="1"/>
      <c r="Q1" s="1"/>
      <c r="R1" s="1"/>
    </row>
    <row r="2" ht="22.5" spans="1:18">
      <c r="A2" s="3" t="s">
        <v>358</v>
      </c>
      <c r="B2" s="4" t="s">
        <v>359</v>
      </c>
      <c r="C2" s="4" t="s">
        <v>360</v>
      </c>
      <c r="D2" s="4" t="s">
        <v>361</v>
      </c>
      <c r="E2" s="4" t="s">
        <v>362</v>
      </c>
      <c r="F2" s="4" t="s">
        <v>363</v>
      </c>
      <c r="G2" s="4" t="s">
        <v>364</v>
      </c>
      <c r="H2" s="4" t="s">
        <v>365</v>
      </c>
      <c r="I2" s="4" t="s">
        <v>366</v>
      </c>
      <c r="J2" s="4" t="s">
        <v>367</v>
      </c>
      <c r="K2" s="12" t="s">
        <v>368</v>
      </c>
      <c r="L2" s="12" t="s">
        <v>369</v>
      </c>
      <c r="M2" s="12" t="s">
        <v>370</v>
      </c>
      <c r="N2" s="12" t="s">
        <v>371</v>
      </c>
      <c r="O2" s="12" t="s">
        <v>372</v>
      </c>
      <c r="P2" s="12" t="s">
        <v>373</v>
      </c>
      <c r="Q2" s="12" t="s">
        <v>374</v>
      </c>
      <c r="R2" s="12" t="s">
        <v>375</v>
      </c>
    </row>
    <row r="3" ht="16.5" spans="1:23">
      <c r="A3" s="17">
        <v>32</v>
      </c>
      <c r="B3" s="17" t="s">
        <v>376</v>
      </c>
      <c r="C3" s="17">
        <v>1888.755</v>
      </c>
      <c r="D3" s="17">
        <v>2389.448</v>
      </c>
      <c r="E3" s="17">
        <v>1</v>
      </c>
      <c r="F3" s="18">
        <v>0</v>
      </c>
      <c r="G3" s="18">
        <v>0</v>
      </c>
      <c r="H3" s="18">
        <v>1</v>
      </c>
      <c r="I3" s="18">
        <v>0.295</v>
      </c>
      <c r="J3" s="18">
        <v>21.187</v>
      </c>
      <c r="K3" s="22">
        <v>2</v>
      </c>
      <c r="L3" s="22">
        <v>0</v>
      </c>
      <c r="M3" s="22">
        <v>0</v>
      </c>
      <c r="N3" s="22">
        <v>0</v>
      </c>
      <c r="O3" s="22">
        <v>0</v>
      </c>
      <c r="P3" s="22">
        <v>-1.576</v>
      </c>
      <c r="Q3" s="22">
        <v>0</v>
      </c>
      <c r="R3" s="22">
        <v>-1</v>
      </c>
      <c r="S3" s="23"/>
      <c r="T3" s="23"/>
      <c r="U3" s="23"/>
      <c r="V3" s="23"/>
      <c r="W3" s="23"/>
    </row>
    <row r="4" ht="16.5" spans="1:23">
      <c r="A4" s="17">
        <v>908</v>
      </c>
      <c r="B4" s="17" t="s">
        <v>377</v>
      </c>
      <c r="C4" s="17">
        <v>2265.613</v>
      </c>
      <c r="D4" s="17">
        <v>2780.181</v>
      </c>
      <c r="E4" s="17">
        <v>1</v>
      </c>
      <c r="F4" s="18">
        <v>0</v>
      </c>
      <c r="G4" s="18">
        <v>0</v>
      </c>
      <c r="H4" s="18">
        <v>1</v>
      </c>
      <c r="I4" s="18">
        <v>1.703</v>
      </c>
      <c r="J4" s="18">
        <v>19.896</v>
      </c>
      <c r="K4" s="22">
        <v>2</v>
      </c>
      <c r="L4" s="22">
        <v>0</v>
      </c>
      <c r="M4" s="22">
        <v>0</v>
      </c>
      <c r="N4" s="22">
        <v>0</v>
      </c>
      <c r="O4" s="22">
        <v>0</v>
      </c>
      <c r="P4" s="22">
        <v>-1.655</v>
      </c>
      <c r="Q4" s="22">
        <v>0</v>
      </c>
      <c r="R4" s="22">
        <v>-1</v>
      </c>
      <c r="S4" s="23"/>
      <c r="T4" s="23"/>
      <c r="U4" s="23"/>
      <c r="V4" s="23"/>
      <c r="W4" s="23"/>
    </row>
    <row r="5" ht="16.5" spans="1:23">
      <c r="A5" s="17">
        <v>399249</v>
      </c>
      <c r="B5" s="17" t="s">
        <v>378</v>
      </c>
      <c r="C5" s="17">
        <v>2365.72</v>
      </c>
      <c r="D5" s="17">
        <v>3203.439</v>
      </c>
      <c r="E5" s="17">
        <v>1</v>
      </c>
      <c r="F5" s="18">
        <v>0</v>
      </c>
      <c r="G5" s="18">
        <v>0</v>
      </c>
      <c r="H5" s="18">
        <v>1</v>
      </c>
      <c r="I5" s="18">
        <v>0.588</v>
      </c>
      <c r="J5" s="18">
        <v>26.585</v>
      </c>
      <c r="K5" s="22">
        <v>3</v>
      </c>
      <c r="L5" s="22">
        <v>0</v>
      </c>
      <c r="M5" s="22">
        <v>0</v>
      </c>
      <c r="N5" s="22">
        <v>0</v>
      </c>
      <c r="O5" s="22">
        <v>0</v>
      </c>
      <c r="P5" s="22">
        <v>-0.067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399381</v>
      </c>
      <c r="B6" s="17" t="s">
        <v>379</v>
      </c>
      <c r="C6" s="17">
        <v>2965.596</v>
      </c>
      <c r="D6" s="17">
        <v>3694.827</v>
      </c>
      <c r="E6" s="17">
        <v>1</v>
      </c>
      <c r="F6" s="18">
        <v>0</v>
      </c>
      <c r="G6" s="18">
        <v>0</v>
      </c>
      <c r="H6" s="18">
        <v>1</v>
      </c>
      <c r="I6" s="18">
        <v>0.351</v>
      </c>
      <c r="J6" s="18">
        <v>20.018</v>
      </c>
      <c r="K6" s="22">
        <v>2</v>
      </c>
      <c r="L6" s="22">
        <v>0</v>
      </c>
      <c r="M6" s="22">
        <v>0</v>
      </c>
      <c r="N6" s="22">
        <v>0</v>
      </c>
      <c r="O6" s="22">
        <v>0</v>
      </c>
      <c r="P6" s="22">
        <v>1.377</v>
      </c>
      <c r="Q6" s="22">
        <v>0</v>
      </c>
      <c r="R6" s="22">
        <v>-1</v>
      </c>
      <c r="S6" s="23"/>
      <c r="T6" s="23"/>
      <c r="U6" s="23"/>
      <c r="V6" s="23"/>
      <c r="W6" s="23"/>
    </row>
    <row r="7" ht="16.5" spans="1:23">
      <c r="A7" s="19">
        <v>28</v>
      </c>
      <c r="B7" s="19" t="s">
        <v>380</v>
      </c>
      <c r="C7" s="19">
        <v>3695.325</v>
      </c>
      <c r="D7" s="19">
        <v>4301.233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0.435</v>
      </c>
      <c r="K7" s="22">
        <v>1</v>
      </c>
      <c r="L7" s="22">
        <v>0</v>
      </c>
      <c r="M7" s="22">
        <v>0</v>
      </c>
      <c r="N7" s="22">
        <v>0</v>
      </c>
      <c r="O7" s="22">
        <v>0</v>
      </c>
      <c r="P7" s="22">
        <v>-2.713</v>
      </c>
      <c r="Q7" s="22">
        <v>0</v>
      </c>
      <c r="R7" s="22">
        <v>-1</v>
      </c>
      <c r="S7" s="23"/>
      <c r="T7" s="23"/>
      <c r="U7" s="23"/>
      <c r="V7" s="23"/>
      <c r="W7" s="23"/>
    </row>
    <row r="8" ht="16.5" spans="1:23">
      <c r="A8" s="19">
        <v>30</v>
      </c>
      <c r="B8" s="19" t="s">
        <v>381</v>
      </c>
      <c r="C8" s="19">
        <v>2445.747</v>
      </c>
      <c r="D8" s="19">
        <v>2789.483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0.012</v>
      </c>
      <c r="K8" s="22">
        <v>0</v>
      </c>
      <c r="L8" s="22">
        <v>0</v>
      </c>
      <c r="M8" s="22">
        <v>0</v>
      </c>
      <c r="N8" s="22">
        <v>-1</v>
      </c>
      <c r="O8" s="22">
        <v>0</v>
      </c>
      <c r="P8" s="22">
        <v>-2.224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9">
        <v>39</v>
      </c>
      <c r="B9" s="19" t="s">
        <v>382</v>
      </c>
      <c r="C9" s="19">
        <v>5092.822</v>
      </c>
      <c r="D9" s="19">
        <v>6409.895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0.098</v>
      </c>
      <c r="K9" s="22">
        <v>2</v>
      </c>
      <c r="L9" s="22">
        <v>0</v>
      </c>
      <c r="M9" s="22">
        <v>0</v>
      </c>
      <c r="N9" s="22">
        <v>-1</v>
      </c>
      <c r="O9" s="22">
        <v>0</v>
      </c>
      <c r="P9" s="22">
        <v>-8.807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9">
        <v>64</v>
      </c>
      <c r="B10" s="19" t="s">
        <v>383</v>
      </c>
      <c r="C10" s="19">
        <v>3445.819</v>
      </c>
      <c r="D10" s="19">
        <v>3807.604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0.269</v>
      </c>
      <c r="K10" s="22">
        <v>1</v>
      </c>
      <c r="L10" s="22">
        <v>0</v>
      </c>
      <c r="M10" s="22">
        <v>0</v>
      </c>
      <c r="N10" s="22">
        <v>0</v>
      </c>
      <c r="O10" s="22">
        <v>0</v>
      </c>
      <c r="P10" s="22">
        <v>-6.108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9">
        <v>100</v>
      </c>
      <c r="B11" s="19" t="s">
        <v>384</v>
      </c>
      <c r="C11" s="19">
        <v>6052.635</v>
      </c>
      <c r="D11" s="19">
        <v>6521.811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0.067</v>
      </c>
      <c r="K11" s="22">
        <v>2</v>
      </c>
      <c r="L11" s="22">
        <v>0</v>
      </c>
      <c r="M11" s="22">
        <v>0</v>
      </c>
      <c r="N11" s="22">
        <v>0</v>
      </c>
      <c r="O11" s="22">
        <v>0</v>
      </c>
      <c r="P11" s="22">
        <v>-0.673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9">
        <v>935</v>
      </c>
      <c r="B12" s="19" t="s">
        <v>385</v>
      </c>
      <c r="C12" s="19">
        <v>5919.69</v>
      </c>
      <c r="D12" s="19">
        <v>7277.036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0.894</v>
      </c>
      <c r="K12" s="22">
        <v>1</v>
      </c>
      <c r="L12" s="22">
        <v>0</v>
      </c>
      <c r="M12" s="22">
        <v>0</v>
      </c>
      <c r="N12" s="22">
        <v>0</v>
      </c>
      <c r="O12" s="22">
        <v>0</v>
      </c>
      <c r="P12" s="22">
        <v>-3.533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9">
        <v>399103</v>
      </c>
      <c r="B13" s="19" t="s">
        <v>386</v>
      </c>
      <c r="C13" s="19">
        <v>8700.263</v>
      </c>
      <c r="D13" s="19">
        <v>9643.314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0.177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-1.117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9">
        <v>399280</v>
      </c>
      <c r="B14" s="19" t="s">
        <v>387</v>
      </c>
      <c r="C14" s="19">
        <v>1954.451</v>
      </c>
      <c r="D14" s="19">
        <v>2279.404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0.464</v>
      </c>
      <c r="K14" s="22">
        <v>1</v>
      </c>
      <c r="L14" s="22">
        <v>0</v>
      </c>
      <c r="M14" s="22">
        <v>0</v>
      </c>
      <c r="N14" s="22">
        <v>0</v>
      </c>
      <c r="O14" s="22">
        <v>0</v>
      </c>
      <c r="P14" s="22">
        <v>0.005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9">
        <v>399306</v>
      </c>
      <c r="B15" s="19" t="s">
        <v>348</v>
      </c>
      <c r="C15" s="19">
        <v>1748.073</v>
      </c>
      <c r="D15" s="19">
        <v>1934.923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0.013</v>
      </c>
      <c r="K15" s="22">
        <v>2</v>
      </c>
      <c r="L15" s="22">
        <v>0</v>
      </c>
      <c r="M15" s="22">
        <v>-1</v>
      </c>
      <c r="N15" s="22">
        <v>1</v>
      </c>
      <c r="O15" s="22">
        <v>0</v>
      </c>
      <c r="P15" s="22">
        <v>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9">
        <v>399435</v>
      </c>
      <c r="B16" s="19" t="s">
        <v>388</v>
      </c>
      <c r="C16" s="19">
        <v>3877.76</v>
      </c>
      <c r="D16" s="19">
        <v>4240.201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1.09</v>
      </c>
      <c r="K16" s="22">
        <v>3</v>
      </c>
      <c r="L16" s="22">
        <v>0</v>
      </c>
      <c r="M16" s="22">
        <v>0</v>
      </c>
      <c r="N16" s="22">
        <v>0</v>
      </c>
      <c r="O16" s="22">
        <v>0</v>
      </c>
      <c r="P16" s="22">
        <v>-1.026</v>
      </c>
      <c r="Q16" s="22">
        <v>0</v>
      </c>
      <c r="R16" s="22">
        <v>-1</v>
      </c>
      <c r="S16" s="23"/>
      <c r="T16" s="23"/>
      <c r="U16" s="23"/>
      <c r="V16" s="23"/>
      <c r="W16" s="23"/>
    </row>
    <row r="17" ht="16.5" spans="1:23">
      <c r="A17" s="19">
        <v>399669</v>
      </c>
      <c r="B17" s="19" t="s">
        <v>389</v>
      </c>
      <c r="C17" s="19">
        <v>8200.277</v>
      </c>
      <c r="D17" s="19">
        <v>8904.569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0.354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-1.06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9">
        <v>399810</v>
      </c>
      <c r="B18" s="19" t="s">
        <v>390</v>
      </c>
      <c r="C18" s="19">
        <v>2875.145</v>
      </c>
      <c r="D18" s="19">
        <v>4028.422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0.319</v>
      </c>
      <c r="K18" s="22">
        <v>2</v>
      </c>
      <c r="L18" s="22">
        <v>0</v>
      </c>
      <c r="M18" s="22">
        <v>0</v>
      </c>
      <c r="N18" s="22">
        <v>0</v>
      </c>
      <c r="O18" s="22">
        <v>0</v>
      </c>
      <c r="P18" s="22">
        <v>-1.332</v>
      </c>
      <c r="Q18" s="22">
        <v>0</v>
      </c>
      <c r="R18" s="22">
        <v>-1</v>
      </c>
      <c r="S18" s="23"/>
      <c r="T18" s="23"/>
      <c r="U18" s="23"/>
      <c r="V18" s="23"/>
      <c r="W18" s="23"/>
    </row>
    <row r="19" ht="16.5" spans="1:23">
      <c r="A19" s="19">
        <v>399935</v>
      </c>
      <c r="B19" s="19" t="s">
        <v>385</v>
      </c>
      <c r="C19" s="19">
        <v>5919.69</v>
      </c>
      <c r="D19" s="19">
        <v>7277.036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0.894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-9.855</v>
      </c>
      <c r="Q19" s="22">
        <v>0</v>
      </c>
      <c r="R19" s="22">
        <v>-1</v>
      </c>
      <c r="S19" s="23"/>
      <c r="T19" s="23"/>
      <c r="U19" s="23"/>
      <c r="V19" s="23"/>
      <c r="W19" s="23"/>
    </row>
    <row r="20" ht="16.5" spans="1:23">
      <c r="A20" s="20">
        <v>12</v>
      </c>
      <c r="B20" s="20" t="s">
        <v>391</v>
      </c>
      <c r="C20" s="20">
        <v>224.442</v>
      </c>
      <c r="D20" s="20">
        <v>225.899</v>
      </c>
      <c r="E20" s="20">
        <v>0</v>
      </c>
      <c r="F20" s="20">
        <v>0</v>
      </c>
      <c r="G20" s="20">
        <v>0</v>
      </c>
      <c r="H20" s="20">
        <v>1</v>
      </c>
      <c r="I20" s="18">
        <v>0.113</v>
      </c>
      <c r="J20" s="18">
        <v>0.757</v>
      </c>
      <c r="K20" s="22">
        <v>1</v>
      </c>
      <c r="L20" s="22">
        <v>0</v>
      </c>
      <c r="M20" s="22">
        <v>0</v>
      </c>
      <c r="N20" s="22">
        <v>0</v>
      </c>
      <c r="O20" s="22">
        <v>0</v>
      </c>
      <c r="P20" s="22">
        <v>-1.263</v>
      </c>
      <c r="Q20" s="22">
        <v>0</v>
      </c>
      <c r="R20" s="22">
        <v>-1</v>
      </c>
      <c r="S20" s="23"/>
      <c r="T20" s="23"/>
      <c r="U20" s="23"/>
      <c r="V20" s="23"/>
      <c r="W20" s="23"/>
    </row>
    <row r="21" ht="16.5" spans="1:23">
      <c r="A21" s="20">
        <v>13</v>
      </c>
      <c r="B21" s="20" t="s">
        <v>392</v>
      </c>
      <c r="C21" s="20">
        <v>302.292</v>
      </c>
      <c r="D21" s="20">
        <v>304.05</v>
      </c>
      <c r="E21" s="20">
        <v>0</v>
      </c>
      <c r="F21" s="20">
        <v>0</v>
      </c>
      <c r="G21" s="20">
        <v>0</v>
      </c>
      <c r="H21" s="20">
        <v>1</v>
      </c>
      <c r="I21" s="18">
        <v>0.382</v>
      </c>
      <c r="J21" s="18">
        <v>0.958</v>
      </c>
      <c r="K21" s="22">
        <v>2</v>
      </c>
      <c r="L21" s="22">
        <v>0</v>
      </c>
      <c r="M21" s="22">
        <v>0</v>
      </c>
      <c r="N21" s="22">
        <v>0</v>
      </c>
      <c r="O21" s="22">
        <v>0</v>
      </c>
      <c r="P21" s="22">
        <v>1.585</v>
      </c>
      <c r="Q21" s="22">
        <v>0</v>
      </c>
      <c r="R21" s="22">
        <v>-1</v>
      </c>
      <c r="S21" s="23"/>
      <c r="T21" s="23"/>
      <c r="U21" s="23"/>
      <c r="V21" s="23"/>
      <c r="W21" s="23"/>
    </row>
    <row r="22" ht="16.5" spans="1:23">
      <c r="A22" s="20">
        <v>22</v>
      </c>
      <c r="B22" s="20" t="s">
        <v>393</v>
      </c>
      <c r="C22" s="20">
        <v>253.348</v>
      </c>
      <c r="D22" s="20">
        <v>254.651</v>
      </c>
      <c r="E22" s="20">
        <v>0</v>
      </c>
      <c r="F22" s="20">
        <v>0</v>
      </c>
      <c r="G22" s="20">
        <v>0</v>
      </c>
      <c r="H22" s="20">
        <v>1</v>
      </c>
      <c r="I22" s="18">
        <v>0.341</v>
      </c>
      <c r="J22" s="18">
        <v>0.851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-1.202</v>
      </c>
      <c r="Q22" s="22">
        <v>0</v>
      </c>
      <c r="R22" s="22">
        <v>-1</v>
      </c>
      <c r="S22" s="23"/>
      <c r="T22" s="23"/>
      <c r="U22" s="23"/>
      <c r="V22" s="23"/>
      <c r="W22" s="23"/>
    </row>
    <row r="23" ht="16.5" spans="1:23">
      <c r="A23" s="20">
        <v>61</v>
      </c>
      <c r="B23" s="20" t="s">
        <v>394</v>
      </c>
      <c r="C23" s="20">
        <v>177.575</v>
      </c>
      <c r="D23" s="20">
        <v>178.533</v>
      </c>
      <c r="E23" s="20">
        <v>0</v>
      </c>
      <c r="F23" s="20">
        <v>0</v>
      </c>
      <c r="G23" s="20">
        <v>0</v>
      </c>
      <c r="H23" s="20">
        <v>1</v>
      </c>
      <c r="I23" s="18">
        <v>0.141</v>
      </c>
      <c r="J23" s="18">
        <v>0.677</v>
      </c>
      <c r="K23" s="22">
        <v>3</v>
      </c>
      <c r="L23" s="22">
        <v>0</v>
      </c>
      <c r="M23" s="22">
        <v>-1</v>
      </c>
      <c r="N23" s="22">
        <v>1</v>
      </c>
      <c r="O23" s="22">
        <v>0</v>
      </c>
      <c r="P23" s="22">
        <v>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101</v>
      </c>
      <c r="B24" s="20" t="s">
        <v>395</v>
      </c>
      <c r="C24" s="20">
        <v>251.171</v>
      </c>
      <c r="D24" s="20">
        <v>252.604</v>
      </c>
      <c r="E24" s="20">
        <v>0</v>
      </c>
      <c r="F24" s="20">
        <v>0</v>
      </c>
      <c r="G24" s="20">
        <v>0</v>
      </c>
      <c r="H24" s="20">
        <v>1</v>
      </c>
      <c r="I24" s="18">
        <v>0.415</v>
      </c>
      <c r="J24" s="18">
        <v>0.98</v>
      </c>
      <c r="K24" s="22">
        <v>0</v>
      </c>
      <c r="L24" s="22">
        <v>0</v>
      </c>
      <c r="M24" s="22">
        <v>1</v>
      </c>
      <c r="N24" s="22">
        <v>-1</v>
      </c>
      <c r="O24" s="22">
        <v>0</v>
      </c>
      <c r="P24" s="22">
        <v>-1.93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112</v>
      </c>
      <c r="B25" s="20" t="s">
        <v>396</v>
      </c>
      <c r="C25" s="20">
        <v>5573.344</v>
      </c>
      <c r="D25" s="20">
        <v>7863.1</v>
      </c>
      <c r="E25" s="20">
        <v>0</v>
      </c>
      <c r="F25" s="20">
        <v>0</v>
      </c>
      <c r="G25" s="20">
        <v>0</v>
      </c>
      <c r="H25" s="20">
        <v>1</v>
      </c>
      <c r="I25" s="18">
        <v>1.117</v>
      </c>
      <c r="J25" s="18">
        <v>29.912</v>
      </c>
      <c r="K25" s="22">
        <v>2</v>
      </c>
      <c r="L25" s="22">
        <v>0</v>
      </c>
      <c r="M25" s="22">
        <v>0</v>
      </c>
      <c r="N25" s="22">
        <v>0</v>
      </c>
      <c r="O25" s="22">
        <v>0</v>
      </c>
      <c r="P25" s="22">
        <v>8.111</v>
      </c>
      <c r="Q25" s="22">
        <v>0</v>
      </c>
      <c r="R25" s="22">
        <v>-1</v>
      </c>
      <c r="S25" s="23"/>
      <c r="T25" s="23"/>
      <c r="U25" s="23"/>
      <c r="V25" s="23"/>
      <c r="W25" s="23"/>
    </row>
    <row r="26" ht="16.5" spans="1:23">
      <c r="A26" s="20">
        <v>116</v>
      </c>
      <c r="B26" s="20" t="s">
        <v>397</v>
      </c>
      <c r="C26" s="20">
        <v>198.58</v>
      </c>
      <c r="D26" s="20">
        <v>199.401</v>
      </c>
      <c r="E26" s="20">
        <v>0</v>
      </c>
      <c r="F26" s="20">
        <v>0</v>
      </c>
      <c r="G26" s="20">
        <v>0</v>
      </c>
      <c r="H26" s="20">
        <v>1</v>
      </c>
      <c r="I26" s="18">
        <v>0.138</v>
      </c>
      <c r="J26" s="18">
        <v>0.549</v>
      </c>
      <c r="K26" s="22">
        <v>3</v>
      </c>
      <c r="L26" s="22">
        <v>0</v>
      </c>
      <c r="M26" s="22">
        <v>0</v>
      </c>
      <c r="N26" s="22">
        <v>0</v>
      </c>
      <c r="O26" s="22">
        <v>0</v>
      </c>
      <c r="P26" s="22">
        <v>-0.609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923</v>
      </c>
      <c r="B27" s="20" t="s">
        <v>398</v>
      </c>
      <c r="C27" s="20">
        <v>253.73</v>
      </c>
      <c r="D27" s="20">
        <v>255.036</v>
      </c>
      <c r="E27" s="20">
        <v>0</v>
      </c>
      <c r="F27" s="20">
        <v>0</v>
      </c>
      <c r="G27" s="20">
        <v>0</v>
      </c>
      <c r="H27" s="20">
        <v>1</v>
      </c>
      <c r="I27" s="18">
        <v>0.361</v>
      </c>
      <c r="J27" s="18">
        <v>0.872</v>
      </c>
      <c r="K27" s="22">
        <v>1</v>
      </c>
      <c r="L27" s="22">
        <v>0</v>
      </c>
      <c r="M27" s="22">
        <v>0</v>
      </c>
      <c r="N27" s="22">
        <v>0</v>
      </c>
      <c r="O27" s="22">
        <v>0</v>
      </c>
      <c r="P27" s="22">
        <v>0.714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0">
        <v>399289</v>
      </c>
      <c r="B28" s="20" t="s">
        <v>399</v>
      </c>
      <c r="C28" s="20">
        <v>120.71</v>
      </c>
      <c r="D28" s="20">
        <v>121.474</v>
      </c>
      <c r="E28" s="20">
        <v>0</v>
      </c>
      <c r="F28" s="20">
        <v>0</v>
      </c>
      <c r="G28" s="20">
        <v>0</v>
      </c>
      <c r="H28" s="20">
        <v>1</v>
      </c>
      <c r="I28" s="18">
        <v>0.351</v>
      </c>
      <c r="J28" s="18">
        <v>0.978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-5.061</v>
      </c>
      <c r="Q28" s="22">
        <v>0</v>
      </c>
      <c r="R28" s="22">
        <v>-1</v>
      </c>
      <c r="S28" s="23"/>
      <c r="T28" s="23"/>
      <c r="U28" s="23"/>
      <c r="V28" s="23"/>
      <c r="W28" s="23"/>
    </row>
    <row r="29" ht="16.5" spans="1:23">
      <c r="A29" s="20">
        <v>399298</v>
      </c>
      <c r="B29" s="20" t="s">
        <v>400</v>
      </c>
      <c r="C29" s="20">
        <v>213.593</v>
      </c>
      <c r="D29" s="20">
        <v>215.022</v>
      </c>
      <c r="E29" s="20">
        <v>0</v>
      </c>
      <c r="F29" s="20">
        <v>0</v>
      </c>
      <c r="G29" s="20">
        <v>0</v>
      </c>
      <c r="H29" s="20">
        <v>1</v>
      </c>
      <c r="I29" s="18">
        <v>0.421</v>
      </c>
      <c r="J29" s="18">
        <v>1.082</v>
      </c>
      <c r="K29" s="22">
        <v>1</v>
      </c>
      <c r="L29" s="22">
        <v>0</v>
      </c>
      <c r="M29" s="22">
        <v>0</v>
      </c>
      <c r="N29" s="22">
        <v>0</v>
      </c>
      <c r="O29" s="22">
        <v>0</v>
      </c>
      <c r="P29" s="22">
        <v>0.043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0">
        <v>399299</v>
      </c>
      <c r="B30" s="20" t="s">
        <v>401</v>
      </c>
      <c r="C30" s="20">
        <v>245.81</v>
      </c>
      <c r="D30" s="20">
        <v>247.574</v>
      </c>
      <c r="E30" s="20">
        <v>0</v>
      </c>
      <c r="F30" s="20">
        <v>0</v>
      </c>
      <c r="G30" s="20">
        <v>0</v>
      </c>
      <c r="H30" s="20">
        <v>1</v>
      </c>
      <c r="I30" s="18">
        <v>0.486</v>
      </c>
      <c r="J30" s="18">
        <v>1.195</v>
      </c>
      <c r="K30" s="22">
        <v>1</v>
      </c>
      <c r="L30" s="22">
        <v>0</v>
      </c>
      <c r="M30" s="22">
        <v>0</v>
      </c>
      <c r="N30" s="22">
        <v>0</v>
      </c>
      <c r="O30" s="22">
        <v>0</v>
      </c>
      <c r="P30" s="22">
        <v>-3.449</v>
      </c>
      <c r="Q30" s="22">
        <v>0</v>
      </c>
      <c r="R30" s="22">
        <v>-1</v>
      </c>
      <c r="S30" s="23"/>
      <c r="T30" s="23"/>
      <c r="U30" s="23"/>
      <c r="V30" s="23"/>
      <c r="W30" s="23"/>
    </row>
    <row r="31" ht="16.5" spans="1:23">
      <c r="A31" s="20">
        <v>399301</v>
      </c>
      <c r="B31" s="20" t="s">
        <v>402</v>
      </c>
      <c r="C31" s="20">
        <v>217.447</v>
      </c>
      <c r="D31" s="20">
        <v>218.902</v>
      </c>
      <c r="E31" s="20">
        <v>0</v>
      </c>
      <c r="F31" s="20">
        <v>0</v>
      </c>
      <c r="G31" s="20">
        <v>0</v>
      </c>
      <c r="H31" s="20">
        <v>1</v>
      </c>
      <c r="I31" s="18">
        <v>0.421</v>
      </c>
      <c r="J31" s="18">
        <v>1.083</v>
      </c>
      <c r="K31" s="22">
        <v>3</v>
      </c>
      <c r="L31" s="22">
        <v>0</v>
      </c>
      <c r="M31" s="22">
        <v>0</v>
      </c>
      <c r="N31" s="22">
        <v>-1</v>
      </c>
      <c r="O31" s="22">
        <v>0</v>
      </c>
      <c r="P31" s="22">
        <v>5.584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399302</v>
      </c>
      <c r="B32" s="20" t="s">
        <v>403</v>
      </c>
      <c r="C32" s="20">
        <v>220.305</v>
      </c>
      <c r="D32" s="20">
        <v>221.629</v>
      </c>
      <c r="E32" s="20">
        <v>0</v>
      </c>
      <c r="F32" s="20">
        <v>0</v>
      </c>
      <c r="G32" s="20">
        <v>0</v>
      </c>
      <c r="H32" s="20">
        <v>1</v>
      </c>
      <c r="I32" s="18">
        <v>0.436</v>
      </c>
      <c r="J32" s="18">
        <v>1.031</v>
      </c>
      <c r="K32" s="22">
        <v>2</v>
      </c>
      <c r="L32" s="22">
        <v>0</v>
      </c>
      <c r="M32" s="22">
        <v>0</v>
      </c>
      <c r="N32" s="22">
        <v>0</v>
      </c>
      <c r="O32" s="22">
        <v>0</v>
      </c>
      <c r="P32" s="22">
        <v>9.532</v>
      </c>
      <c r="Q32" s="22">
        <v>0</v>
      </c>
      <c r="R32" s="22">
        <v>-1</v>
      </c>
      <c r="S32" s="23"/>
      <c r="T32" s="23"/>
      <c r="U32" s="23"/>
      <c r="V32" s="23"/>
      <c r="W32" s="23"/>
    </row>
    <row r="33" ht="16.5" spans="1:23">
      <c r="A33" s="20">
        <v>399404</v>
      </c>
      <c r="B33" s="20" t="s">
        <v>404</v>
      </c>
      <c r="C33" s="20">
        <v>6073.034</v>
      </c>
      <c r="D33" s="20">
        <v>6681.427</v>
      </c>
      <c r="E33" s="20">
        <v>0</v>
      </c>
      <c r="F33" s="20">
        <v>0</v>
      </c>
      <c r="G33" s="20">
        <v>0</v>
      </c>
      <c r="H33" s="20">
        <v>1</v>
      </c>
      <c r="I33" s="18">
        <v>1.799</v>
      </c>
      <c r="J33" s="18">
        <v>10.741</v>
      </c>
      <c r="K33" s="22">
        <v>1</v>
      </c>
      <c r="L33" s="22">
        <v>0</v>
      </c>
      <c r="M33" s="22">
        <v>0</v>
      </c>
      <c r="N33" s="22">
        <v>-1</v>
      </c>
      <c r="O33" s="22">
        <v>0</v>
      </c>
      <c r="P33" s="22">
        <v>-1.6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0">
        <v>399410</v>
      </c>
      <c r="B34" s="20" t="s">
        <v>405</v>
      </c>
      <c r="C34" s="20">
        <v>2660</v>
      </c>
      <c r="D34" s="20">
        <v>3515.588</v>
      </c>
      <c r="E34" s="20">
        <v>0</v>
      </c>
      <c r="F34" s="20">
        <v>0</v>
      </c>
      <c r="G34" s="20">
        <v>0</v>
      </c>
      <c r="H34" s="20">
        <v>1</v>
      </c>
      <c r="I34" s="18">
        <v>1.497</v>
      </c>
      <c r="J34" s="18">
        <v>25.47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-3.098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0">
        <v>399427</v>
      </c>
      <c r="B35" s="20" t="s">
        <v>406</v>
      </c>
      <c r="C35" s="20">
        <v>2139.628</v>
      </c>
      <c r="D35" s="20">
        <v>2475.492</v>
      </c>
      <c r="E35" s="20">
        <v>0</v>
      </c>
      <c r="F35" s="20">
        <v>0</v>
      </c>
      <c r="G35" s="20">
        <v>0</v>
      </c>
      <c r="H35" s="20">
        <v>1</v>
      </c>
      <c r="I35" s="18">
        <v>1.685</v>
      </c>
      <c r="J35" s="18">
        <v>15.024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-4.898</v>
      </c>
      <c r="Q35" s="22">
        <v>0</v>
      </c>
      <c r="R35" s="22">
        <v>-1</v>
      </c>
      <c r="S35" s="23"/>
      <c r="T35" s="23"/>
      <c r="U35" s="23"/>
      <c r="V35" s="23"/>
      <c r="W35" s="23"/>
    </row>
    <row r="36" ht="16.5" spans="1:23">
      <c r="A36" s="21">
        <v>5</v>
      </c>
      <c r="B36" s="21" t="s">
        <v>407</v>
      </c>
      <c r="C36" s="21">
        <v>2729.087</v>
      </c>
      <c r="D36" s="21">
        <v>2969.676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3</v>
      </c>
      <c r="L36" s="22">
        <v>2</v>
      </c>
      <c r="M36" s="22">
        <v>-1</v>
      </c>
      <c r="N36" s="22">
        <v>1</v>
      </c>
      <c r="O36" s="22">
        <v>0</v>
      </c>
      <c r="P36" s="22">
        <v>-8.49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6</v>
      </c>
      <c r="B37" s="21" t="s">
        <v>408</v>
      </c>
      <c r="C37" s="21">
        <v>4130.084</v>
      </c>
      <c r="D37" s="21">
        <v>4572.602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-10.447</v>
      </c>
      <c r="Q37" s="22">
        <v>0</v>
      </c>
      <c r="R37" s="22">
        <v>-1</v>
      </c>
      <c r="S37" s="23"/>
      <c r="T37" s="23"/>
      <c r="U37" s="23"/>
      <c r="V37" s="23"/>
      <c r="W37" s="23"/>
    </row>
    <row r="38" ht="16.5" spans="1:23">
      <c r="A38" s="21">
        <v>8</v>
      </c>
      <c r="B38" s="21" t="s">
        <v>409</v>
      </c>
      <c r="C38" s="21">
        <v>3423.038</v>
      </c>
      <c r="D38" s="21">
        <v>3749.263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1</v>
      </c>
      <c r="L38" s="22">
        <v>0</v>
      </c>
      <c r="M38" s="22">
        <v>0</v>
      </c>
      <c r="N38" s="22">
        <v>0</v>
      </c>
      <c r="O38" s="22">
        <v>0</v>
      </c>
      <c r="P38" s="22">
        <v>3.975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10</v>
      </c>
      <c r="B39" s="21" t="s">
        <v>410</v>
      </c>
      <c r="C39" s="21">
        <v>9638.364</v>
      </c>
      <c r="D39" s="21">
        <v>10558.679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1.153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11</v>
      </c>
      <c r="B40" s="21" t="s">
        <v>225</v>
      </c>
      <c r="C40" s="21">
        <v>6951.992</v>
      </c>
      <c r="D40" s="21">
        <v>7251.209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3</v>
      </c>
      <c r="L40" s="22">
        <v>0</v>
      </c>
      <c r="M40" s="22">
        <v>1</v>
      </c>
      <c r="N40" s="22">
        <v>-1</v>
      </c>
      <c r="O40" s="22">
        <v>0</v>
      </c>
      <c r="P40" s="22">
        <v>-6.648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16</v>
      </c>
      <c r="B41" s="21" t="s">
        <v>5</v>
      </c>
      <c r="C41" s="21">
        <v>2907.435</v>
      </c>
      <c r="D41" s="21">
        <v>3177.457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1</v>
      </c>
      <c r="L41" s="22">
        <v>0</v>
      </c>
      <c r="M41" s="22">
        <v>0</v>
      </c>
      <c r="N41" s="22">
        <v>-1</v>
      </c>
      <c r="O41" s="22">
        <v>0</v>
      </c>
      <c r="P41" s="22">
        <v>-1.359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18</v>
      </c>
      <c r="B42" s="21" t="s">
        <v>411</v>
      </c>
      <c r="C42" s="21">
        <v>5470.691</v>
      </c>
      <c r="D42" s="21">
        <v>6134.557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1</v>
      </c>
      <c r="L42" s="22">
        <v>0</v>
      </c>
      <c r="M42" s="22">
        <v>0</v>
      </c>
      <c r="N42" s="22">
        <v>0</v>
      </c>
      <c r="O42" s="22">
        <v>0</v>
      </c>
      <c r="P42" s="22">
        <v>2.265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19</v>
      </c>
      <c r="B43" s="21" t="s">
        <v>412</v>
      </c>
      <c r="C43" s="21">
        <v>1200.226</v>
      </c>
      <c r="D43" s="21">
        <v>1294.681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2</v>
      </c>
      <c r="L43" s="22">
        <v>0</v>
      </c>
      <c r="M43" s="22">
        <v>0</v>
      </c>
      <c r="N43" s="22">
        <v>0</v>
      </c>
      <c r="O43" s="22">
        <v>0</v>
      </c>
      <c r="P43" s="22">
        <v>-3.419</v>
      </c>
      <c r="Q43" s="22">
        <v>0</v>
      </c>
      <c r="R43" s="22">
        <v>-1</v>
      </c>
      <c r="S43" s="23"/>
      <c r="T43" s="23"/>
      <c r="U43" s="23"/>
      <c r="V43" s="23"/>
      <c r="W43" s="23"/>
    </row>
    <row r="44" ht="16.5" spans="1:23">
      <c r="A44" s="21">
        <v>21</v>
      </c>
      <c r="B44" s="21" t="s">
        <v>413</v>
      </c>
      <c r="C44" s="21">
        <v>1050.943</v>
      </c>
      <c r="D44" s="21">
        <v>1127.791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2</v>
      </c>
      <c r="L44" s="22">
        <v>0</v>
      </c>
      <c r="M44" s="22">
        <v>0</v>
      </c>
      <c r="N44" s="22">
        <v>0</v>
      </c>
      <c r="O44" s="22">
        <v>0</v>
      </c>
      <c r="P44" s="22">
        <v>-0.474</v>
      </c>
      <c r="Q44" s="22">
        <v>0</v>
      </c>
      <c r="R44" s="22">
        <v>-1</v>
      </c>
      <c r="S44" s="23"/>
      <c r="T44" s="23"/>
      <c r="U44" s="23"/>
      <c r="V44" s="23"/>
      <c r="W44" s="23"/>
    </row>
    <row r="45" ht="16.5" spans="1:23">
      <c r="A45" s="21">
        <v>25</v>
      </c>
      <c r="B45" s="21" t="s">
        <v>414</v>
      </c>
      <c r="C45" s="21">
        <v>1713.134</v>
      </c>
      <c r="D45" s="21">
        <v>1855.202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2</v>
      </c>
      <c r="L45" s="22">
        <v>0</v>
      </c>
      <c r="M45" s="22">
        <v>0</v>
      </c>
      <c r="N45" s="22">
        <v>0</v>
      </c>
      <c r="O45" s="22">
        <v>0</v>
      </c>
      <c r="P45" s="22">
        <v>-2.179</v>
      </c>
      <c r="Q45" s="22">
        <v>0</v>
      </c>
      <c r="R45" s="22">
        <v>-1</v>
      </c>
      <c r="S45" s="23"/>
      <c r="T45" s="23"/>
      <c r="U45" s="23"/>
      <c r="V45" s="23"/>
      <c r="W45" s="23"/>
    </row>
    <row r="46" ht="16.5" spans="1:23">
      <c r="A46" s="21">
        <v>29</v>
      </c>
      <c r="B46" s="21" t="s">
        <v>415</v>
      </c>
      <c r="C46" s="21">
        <v>4226.978</v>
      </c>
      <c r="D46" s="21">
        <v>4574.363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1</v>
      </c>
      <c r="L46" s="22">
        <v>0</v>
      </c>
      <c r="M46" s="22">
        <v>0</v>
      </c>
      <c r="N46" s="22">
        <v>0</v>
      </c>
      <c r="O46" s="22">
        <v>0</v>
      </c>
      <c r="P46" s="22">
        <v>-1.54</v>
      </c>
      <c r="Q46" s="22">
        <v>0</v>
      </c>
      <c r="R46" s="22">
        <v>-1</v>
      </c>
      <c r="S46" s="23"/>
      <c r="T46" s="23"/>
      <c r="U46" s="23"/>
      <c r="V46" s="23"/>
      <c r="W46" s="23"/>
    </row>
    <row r="47" ht="16.5" spans="1:23">
      <c r="A47" s="21">
        <v>31</v>
      </c>
      <c r="B47" s="21" t="s">
        <v>416</v>
      </c>
      <c r="C47" s="21">
        <v>3128.701</v>
      </c>
      <c r="D47" s="21">
        <v>3341.331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1</v>
      </c>
      <c r="L47" s="22">
        <v>0</v>
      </c>
      <c r="M47" s="22">
        <v>0</v>
      </c>
      <c r="N47" s="22">
        <v>0</v>
      </c>
      <c r="O47" s="22">
        <v>0</v>
      </c>
      <c r="P47" s="22">
        <v>-1.172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35</v>
      </c>
      <c r="B48" s="21" t="s">
        <v>417</v>
      </c>
      <c r="C48" s="21">
        <v>2752.238</v>
      </c>
      <c r="D48" s="21">
        <v>3095.013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1</v>
      </c>
      <c r="L48" s="22">
        <v>0</v>
      </c>
      <c r="M48" s="22">
        <v>0</v>
      </c>
      <c r="N48" s="22">
        <v>0</v>
      </c>
      <c r="O48" s="22">
        <v>0</v>
      </c>
      <c r="P48" s="22">
        <v>-0.619</v>
      </c>
      <c r="Q48" s="22">
        <v>0</v>
      </c>
      <c r="R48" s="22">
        <v>-1</v>
      </c>
      <c r="S48" s="23"/>
      <c r="T48" s="23"/>
      <c r="U48" s="23"/>
      <c r="V48" s="23"/>
      <c r="W48" s="23"/>
    </row>
    <row r="49" ht="16.5" spans="1:23">
      <c r="A49" s="21">
        <v>36</v>
      </c>
      <c r="B49" s="21" t="s">
        <v>418</v>
      </c>
      <c r="C49" s="21">
        <v>10437.657</v>
      </c>
      <c r="D49" s="21">
        <v>11449.887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1</v>
      </c>
      <c r="L49" s="22">
        <v>0</v>
      </c>
      <c r="M49" s="22">
        <v>0</v>
      </c>
      <c r="N49" s="22">
        <v>-1</v>
      </c>
      <c r="O49" s="22">
        <v>0</v>
      </c>
      <c r="P49" s="22">
        <v>-0.507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38</v>
      </c>
      <c r="B50" s="21" t="s">
        <v>419</v>
      </c>
      <c r="C50" s="21">
        <v>5444.321</v>
      </c>
      <c r="D50" s="21">
        <v>6133.374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2</v>
      </c>
      <c r="L50" s="22">
        <v>0</v>
      </c>
      <c r="M50" s="22">
        <v>0</v>
      </c>
      <c r="N50" s="22">
        <v>-1</v>
      </c>
      <c r="O50" s="22">
        <v>0</v>
      </c>
      <c r="P50" s="22">
        <v>-4.53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42</v>
      </c>
      <c r="B51" s="21" t="s">
        <v>420</v>
      </c>
      <c r="C51" s="21">
        <v>1747.338</v>
      </c>
      <c r="D51" s="21">
        <v>1859.982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1</v>
      </c>
      <c r="L51" s="22">
        <v>0</v>
      </c>
      <c r="M51" s="22">
        <v>0</v>
      </c>
      <c r="N51" s="22">
        <v>0</v>
      </c>
      <c r="O51" s="22">
        <v>-1</v>
      </c>
      <c r="P51" s="22">
        <v>-2.793</v>
      </c>
      <c r="Q51" s="22">
        <v>0</v>
      </c>
      <c r="R51" s="22">
        <v>-1</v>
      </c>
      <c r="S51" s="23"/>
      <c r="T51" s="23"/>
      <c r="U51" s="23"/>
      <c r="V51" s="23"/>
      <c r="W51" s="23"/>
    </row>
    <row r="52" ht="16.5" spans="1:23">
      <c r="A52" s="21">
        <v>43</v>
      </c>
      <c r="B52" s="21" t="s">
        <v>338</v>
      </c>
      <c r="C52" s="21">
        <v>2493.459</v>
      </c>
      <c r="D52" s="21">
        <v>2730.812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1</v>
      </c>
      <c r="L52" s="22">
        <v>0</v>
      </c>
      <c r="M52" s="22">
        <v>0</v>
      </c>
      <c r="N52" s="22">
        <v>0</v>
      </c>
      <c r="O52" s="22">
        <v>0</v>
      </c>
      <c r="P52" s="22">
        <v>-10.973</v>
      </c>
      <c r="Q52" s="22">
        <v>0</v>
      </c>
      <c r="R52" s="22">
        <v>-1</v>
      </c>
      <c r="S52" s="23"/>
      <c r="T52" s="23"/>
      <c r="U52" s="23"/>
      <c r="V52" s="23"/>
      <c r="W52" s="23"/>
    </row>
    <row r="53" ht="16.5" spans="1:23">
      <c r="A53" s="21">
        <v>48</v>
      </c>
      <c r="B53" s="21" t="s">
        <v>421</v>
      </c>
      <c r="C53" s="21">
        <v>1417.725</v>
      </c>
      <c r="D53" s="21">
        <v>1528.11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1</v>
      </c>
      <c r="L53" s="22">
        <v>0</v>
      </c>
      <c r="M53" s="22">
        <v>0</v>
      </c>
      <c r="N53" s="22">
        <v>0</v>
      </c>
      <c r="O53" s="22">
        <v>0</v>
      </c>
      <c r="P53" s="22">
        <v>-1.5</v>
      </c>
      <c r="Q53" s="22">
        <v>0</v>
      </c>
      <c r="R53" s="22">
        <v>-1</v>
      </c>
      <c r="S53" s="23"/>
      <c r="T53" s="23"/>
      <c r="U53" s="23"/>
      <c r="V53" s="23"/>
      <c r="W53" s="23"/>
    </row>
    <row r="54" ht="16.5" spans="1:23">
      <c r="A54" s="21">
        <v>50</v>
      </c>
      <c r="B54" s="21" t="s">
        <v>422</v>
      </c>
      <c r="C54" s="21">
        <v>2324.072</v>
      </c>
      <c r="D54" s="21">
        <v>2537.604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1</v>
      </c>
      <c r="L54" s="22">
        <v>0</v>
      </c>
      <c r="M54" s="22">
        <v>0</v>
      </c>
      <c r="N54" s="22">
        <v>-1</v>
      </c>
      <c r="O54" s="22">
        <v>0</v>
      </c>
      <c r="P54" s="22">
        <v>-0.665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52</v>
      </c>
      <c r="B55" s="21" t="s">
        <v>423</v>
      </c>
      <c r="C55" s="21">
        <v>2884.929</v>
      </c>
      <c r="D55" s="21">
        <v>3112.598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1</v>
      </c>
      <c r="L55" s="22">
        <v>0</v>
      </c>
      <c r="M55" s="22">
        <v>0</v>
      </c>
      <c r="N55" s="22">
        <v>-1</v>
      </c>
      <c r="O55" s="22">
        <v>0</v>
      </c>
      <c r="P55" s="22">
        <v>-0.474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53</v>
      </c>
      <c r="B56" s="21" t="s">
        <v>424</v>
      </c>
      <c r="C56" s="21">
        <v>12193.628</v>
      </c>
      <c r="D56" s="21">
        <v>12925.01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1</v>
      </c>
      <c r="L56" s="22">
        <v>0</v>
      </c>
      <c r="M56" s="22">
        <v>0</v>
      </c>
      <c r="N56" s="22">
        <v>0</v>
      </c>
      <c r="O56" s="22">
        <v>0</v>
      </c>
      <c r="P56" s="22">
        <v>-0.929</v>
      </c>
      <c r="Q56" s="22">
        <v>0</v>
      </c>
      <c r="R56" s="22">
        <v>-1</v>
      </c>
      <c r="S56" s="23"/>
      <c r="T56" s="23"/>
      <c r="U56" s="23"/>
      <c r="V56" s="23"/>
      <c r="W56" s="23"/>
    </row>
    <row r="57" ht="16.5" spans="1:23">
      <c r="A57" s="21">
        <v>54</v>
      </c>
      <c r="B57" s="21" t="s">
        <v>425</v>
      </c>
      <c r="C57" s="21">
        <v>1526.52</v>
      </c>
      <c r="D57" s="21">
        <v>1682.14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1</v>
      </c>
      <c r="L57" s="22">
        <v>0</v>
      </c>
      <c r="M57" s="22">
        <v>0</v>
      </c>
      <c r="N57" s="22">
        <v>-1</v>
      </c>
      <c r="O57" s="22">
        <v>0</v>
      </c>
      <c r="P57" s="22">
        <v>-3.171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58</v>
      </c>
      <c r="B58" s="21" t="s">
        <v>426</v>
      </c>
      <c r="C58" s="21">
        <v>4577.022</v>
      </c>
      <c r="D58" s="21">
        <v>4873.524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1</v>
      </c>
      <c r="L58" s="22">
        <v>0</v>
      </c>
      <c r="M58" s="22">
        <v>0</v>
      </c>
      <c r="N58" s="22">
        <v>0</v>
      </c>
      <c r="O58" s="22">
        <v>0</v>
      </c>
      <c r="P58" s="22">
        <v>-0.557</v>
      </c>
      <c r="Q58" s="22">
        <v>0</v>
      </c>
      <c r="R58" s="22">
        <v>-1</v>
      </c>
      <c r="S58" s="23"/>
      <c r="T58" s="23"/>
      <c r="U58" s="23"/>
      <c r="V58" s="23"/>
      <c r="W58" s="23"/>
    </row>
    <row r="59" ht="16.5" spans="1:23">
      <c r="A59" s="21">
        <v>60</v>
      </c>
      <c r="B59" s="21" t="s">
        <v>427</v>
      </c>
      <c r="C59" s="21">
        <v>4330.195</v>
      </c>
      <c r="D59" s="21">
        <v>4642.768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1</v>
      </c>
      <c r="L59" s="22">
        <v>0</v>
      </c>
      <c r="M59" s="22">
        <v>0</v>
      </c>
      <c r="N59" s="22">
        <v>0</v>
      </c>
      <c r="O59" s="22">
        <v>0</v>
      </c>
      <c r="P59" s="22">
        <v>-2.699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62</v>
      </c>
      <c r="B60" s="21" t="s">
        <v>428</v>
      </c>
      <c r="C60" s="21">
        <v>2002.867</v>
      </c>
      <c r="D60" s="21">
        <v>2240.068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2</v>
      </c>
      <c r="L60" s="22">
        <v>0</v>
      </c>
      <c r="M60" s="22">
        <v>-1</v>
      </c>
      <c r="N60" s="22">
        <v>1</v>
      </c>
      <c r="O60" s="22">
        <v>0</v>
      </c>
      <c r="P60" s="22">
        <v>0.015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63</v>
      </c>
      <c r="B61" s="21" t="s">
        <v>429</v>
      </c>
      <c r="C61" s="21">
        <v>3829.318</v>
      </c>
      <c r="D61" s="21">
        <v>4222.905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-1.449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69</v>
      </c>
      <c r="B62" s="21" t="s">
        <v>430</v>
      </c>
      <c r="C62" s="21">
        <v>4651.973</v>
      </c>
      <c r="D62" s="21">
        <v>5163.462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1</v>
      </c>
      <c r="L62" s="22">
        <v>0</v>
      </c>
      <c r="M62" s="22">
        <v>0</v>
      </c>
      <c r="N62" s="22">
        <v>0</v>
      </c>
      <c r="O62" s="22">
        <v>0</v>
      </c>
      <c r="P62" s="22">
        <v>-4.016</v>
      </c>
      <c r="Q62" s="22">
        <v>0</v>
      </c>
      <c r="R62" s="22">
        <v>-1</v>
      </c>
      <c r="S62" s="23"/>
      <c r="T62" s="23"/>
      <c r="U62" s="23"/>
      <c r="V62" s="23"/>
      <c r="W62" s="23"/>
    </row>
    <row r="63" ht="16.5" spans="1:23">
      <c r="A63" s="21">
        <v>73</v>
      </c>
      <c r="B63" s="21" t="s">
        <v>431</v>
      </c>
      <c r="C63" s="21">
        <v>3244.127</v>
      </c>
      <c r="D63" s="21">
        <v>3680.432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1</v>
      </c>
      <c r="L63" s="22">
        <v>0</v>
      </c>
      <c r="M63" s="22">
        <v>0</v>
      </c>
      <c r="N63" s="22">
        <v>0</v>
      </c>
      <c r="O63" s="22">
        <v>0</v>
      </c>
      <c r="P63" s="22">
        <v>-0.845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74</v>
      </c>
      <c r="B64" s="21" t="s">
        <v>432</v>
      </c>
      <c r="C64" s="21">
        <v>6827.115</v>
      </c>
      <c r="D64" s="21">
        <v>7537.059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1</v>
      </c>
      <c r="L64" s="22">
        <v>0</v>
      </c>
      <c r="M64" s="22">
        <v>0</v>
      </c>
      <c r="N64" s="22">
        <v>0</v>
      </c>
      <c r="O64" s="22">
        <v>0</v>
      </c>
      <c r="P64" s="22">
        <v>0.07</v>
      </c>
      <c r="Q64" s="22">
        <v>0</v>
      </c>
      <c r="R64" s="22">
        <v>-1</v>
      </c>
      <c r="S64" s="23"/>
      <c r="T64" s="23"/>
      <c r="U64" s="23"/>
      <c r="V64" s="23"/>
      <c r="W64" s="23"/>
    </row>
    <row r="65" ht="16.5" spans="1:23">
      <c r="A65" s="21">
        <v>76</v>
      </c>
      <c r="B65" s="21" t="s">
        <v>433</v>
      </c>
      <c r="C65" s="21">
        <v>5380.742</v>
      </c>
      <c r="D65" s="21">
        <v>5942.276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2</v>
      </c>
      <c r="L65" s="22">
        <v>0</v>
      </c>
      <c r="M65" s="22">
        <v>0</v>
      </c>
      <c r="N65" s="22">
        <v>0</v>
      </c>
      <c r="O65" s="22">
        <v>0</v>
      </c>
      <c r="P65" s="22">
        <v>12.895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96</v>
      </c>
      <c r="B66" s="21" t="s">
        <v>434</v>
      </c>
      <c r="C66" s="21">
        <v>4053.352</v>
      </c>
      <c r="D66" s="21">
        <v>4473.173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1</v>
      </c>
      <c r="L66" s="22">
        <v>0</v>
      </c>
      <c r="M66" s="22">
        <v>0</v>
      </c>
      <c r="N66" s="22">
        <v>0</v>
      </c>
      <c r="O66" s="22">
        <v>0</v>
      </c>
      <c r="P66" s="22">
        <v>-3.582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98</v>
      </c>
      <c r="B67" s="21" t="s">
        <v>435</v>
      </c>
      <c r="C67" s="21">
        <v>5367.467</v>
      </c>
      <c r="D67" s="21">
        <v>5726.553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0</v>
      </c>
      <c r="N67" s="22">
        <v>0</v>
      </c>
      <c r="O67" s="22">
        <v>0</v>
      </c>
      <c r="P67" s="22">
        <v>9.609</v>
      </c>
      <c r="Q67" s="22">
        <v>0</v>
      </c>
      <c r="R67" s="22">
        <v>-1</v>
      </c>
      <c r="S67" s="23"/>
      <c r="T67" s="23"/>
      <c r="U67" s="23"/>
      <c r="V67" s="23"/>
      <c r="W67" s="23"/>
    </row>
    <row r="68" ht="16.5" spans="1:23">
      <c r="A68" s="21">
        <v>103</v>
      </c>
      <c r="B68" s="21" t="s">
        <v>436</v>
      </c>
      <c r="C68" s="21">
        <v>7619.752</v>
      </c>
      <c r="D68" s="21">
        <v>8654.886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-5.753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107</v>
      </c>
      <c r="B69" s="21" t="s">
        <v>437</v>
      </c>
      <c r="C69" s="21">
        <v>5244.987</v>
      </c>
      <c r="D69" s="21">
        <v>5957.608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3</v>
      </c>
      <c r="L69" s="22">
        <v>0</v>
      </c>
      <c r="M69" s="22">
        <v>0</v>
      </c>
      <c r="N69" s="22">
        <v>-1</v>
      </c>
      <c r="O69" s="22">
        <v>0</v>
      </c>
      <c r="P69" s="22">
        <v>6.536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109</v>
      </c>
      <c r="B70" s="21" t="s">
        <v>438</v>
      </c>
      <c r="C70" s="21">
        <v>9521.93</v>
      </c>
      <c r="D70" s="21">
        <v>10760.978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2</v>
      </c>
      <c r="L70" s="22">
        <v>0</v>
      </c>
      <c r="M70" s="22">
        <v>0</v>
      </c>
      <c r="N70" s="22">
        <v>0</v>
      </c>
      <c r="O70" s="22">
        <v>0</v>
      </c>
      <c r="P70" s="22">
        <v>14.978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110</v>
      </c>
      <c r="B71" s="21" t="s">
        <v>439</v>
      </c>
      <c r="C71" s="21">
        <v>4072.439</v>
      </c>
      <c r="D71" s="21">
        <v>4449.98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2</v>
      </c>
      <c r="L71" s="22">
        <v>0</v>
      </c>
      <c r="M71" s="22">
        <v>1</v>
      </c>
      <c r="N71" s="22">
        <v>-1</v>
      </c>
      <c r="O71" s="22">
        <v>0</v>
      </c>
      <c r="P71" s="22">
        <v>-3.297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123</v>
      </c>
      <c r="B72" s="21" t="s">
        <v>440</v>
      </c>
      <c r="C72" s="21">
        <v>6629.131</v>
      </c>
      <c r="D72" s="21">
        <v>7756.453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-2.332</v>
      </c>
      <c r="Q72" s="22">
        <v>0</v>
      </c>
      <c r="R72" s="22">
        <v>-1</v>
      </c>
      <c r="S72" s="23"/>
      <c r="T72" s="23"/>
      <c r="U72" s="23"/>
      <c r="V72" s="23"/>
      <c r="W72" s="23"/>
    </row>
    <row r="73" ht="16.5" spans="1:23">
      <c r="A73" s="21">
        <v>126</v>
      </c>
      <c r="B73" s="21" t="s">
        <v>441</v>
      </c>
      <c r="C73" s="21">
        <v>7774.698</v>
      </c>
      <c r="D73" s="21">
        <v>8519.101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1</v>
      </c>
      <c r="L73" s="22">
        <v>0</v>
      </c>
      <c r="M73" s="22">
        <v>0</v>
      </c>
      <c r="N73" s="22">
        <v>0</v>
      </c>
      <c r="O73" s="22">
        <v>0</v>
      </c>
      <c r="P73" s="22">
        <v>0.066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135</v>
      </c>
      <c r="B74" s="21" t="s">
        <v>442</v>
      </c>
      <c r="C74" s="21">
        <v>5911.478</v>
      </c>
      <c r="D74" s="21">
        <v>6943.979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4</v>
      </c>
      <c r="L74" s="22">
        <v>2</v>
      </c>
      <c r="M74" s="22">
        <v>-1</v>
      </c>
      <c r="N74" s="22">
        <v>1</v>
      </c>
      <c r="O74" s="22">
        <v>0</v>
      </c>
      <c r="P74" s="22">
        <v>-8.328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147</v>
      </c>
      <c r="B75" s="21" t="s">
        <v>443</v>
      </c>
      <c r="C75" s="21">
        <v>6424.56</v>
      </c>
      <c r="D75" s="21">
        <v>7132.826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1</v>
      </c>
      <c r="L75" s="22">
        <v>0</v>
      </c>
      <c r="M75" s="22">
        <v>0</v>
      </c>
      <c r="N75" s="22">
        <v>0</v>
      </c>
      <c r="O75" s="22">
        <v>0</v>
      </c>
      <c r="P75" s="22">
        <v>-9.558</v>
      </c>
      <c r="Q75" s="22">
        <v>0</v>
      </c>
      <c r="R75" s="22">
        <v>-1</v>
      </c>
      <c r="S75" s="23"/>
      <c r="T75" s="23"/>
      <c r="U75" s="23"/>
      <c r="V75" s="23"/>
      <c r="W75" s="23"/>
    </row>
    <row r="76" ht="16.5" spans="1:23">
      <c r="A76" s="21">
        <v>148</v>
      </c>
      <c r="B76" s="21" t="s">
        <v>444</v>
      </c>
      <c r="C76" s="21">
        <v>9021.564</v>
      </c>
      <c r="D76" s="21">
        <v>10129.203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1</v>
      </c>
      <c r="L76" s="22">
        <v>0</v>
      </c>
      <c r="M76" s="22">
        <v>0</v>
      </c>
      <c r="N76" s="22">
        <v>-1</v>
      </c>
      <c r="O76" s="22">
        <v>0</v>
      </c>
      <c r="P76" s="22">
        <v>-1.01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155</v>
      </c>
      <c r="B77" s="21" t="s">
        <v>445</v>
      </c>
      <c r="C77" s="21">
        <v>3156.262</v>
      </c>
      <c r="D77" s="21">
        <v>3457.726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-0.928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162</v>
      </c>
      <c r="B78" s="21" t="s">
        <v>446</v>
      </c>
      <c r="C78" s="21">
        <v>3412.836</v>
      </c>
      <c r="D78" s="21">
        <v>4077.362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3</v>
      </c>
      <c r="L78" s="22">
        <v>0</v>
      </c>
      <c r="M78" s="22">
        <v>1</v>
      </c>
      <c r="N78" s="22">
        <v>-1</v>
      </c>
      <c r="O78" s="22">
        <v>0</v>
      </c>
      <c r="P78" s="22">
        <v>-6.805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170</v>
      </c>
      <c r="B79" s="21" t="s">
        <v>447</v>
      </c>
      <c r="C79" s="21">
        <v>5967.718</v>
      </c>
      <c r="D79" s="21">
        <v>6572.81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1</v>
      </c>
      <c r="L79" s="22">
        <v>0</v>
      </c>
      <c r="M79" s="22">
        <v>0</v>
      </c>
      <c r="N79" s="22">
        <v>0</v>
      </c>
      <c r="O79" s="22">
        <v>0</v>
      </c>
      <c r="P79" s="22">
        <v>-0.277</v>
      </c>
      <c r="Q79" s="22">
        <v>0</v>
      </c>
      <c r="R79" s="22">
        <v>-1</v>
      </c>
      <c r="S79" s="23"/>
      <c r="T79" s="23"/>
      <c r="U79" s="23"/>
      <c r="V79" s="23"/>
      <c r="W79" s="23"/>
    </row>
    <row r="80" ht="16.5" spans="1:23">
      <c r="A80" s="21">
        <v>300</v>
      </c>
      <c r="B80" s="21" t="s">
        <v>25</v>
      </c>
      <c r="C80" s="21">
        <v>4447.065</v>
      </c>
      <c r="D80" s="21">
        <v>4836.33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2</v>
      </c>
      <c r="L80" s="22">
        <v>0</v>
      </c>
      <c r="M80" s="22">
        <v>0</v>
      </c>
      <c r="N80" s="22">
        <v>0</v>
      </c>
      <c r="O80" s="22">
        <v>0</v>
      </c>
      <c r="P80" s="22">
        <v>8.766</v>
      </c>
      <c r="Q80" s="22">
        <v>0</v>
      </c>
      <c r="R80" s="22">
        <v>-1</v>
      </c>
      <c r="S80" s="23"/>
      <c r="T80" s="23"/>
      <c r="U80" s="23"/>
      <c r="V80" s="23"/>
      <c r="W80" s="23"/>
    </row>
    <row r="81" ht="16.5" spans="1:23">
      <c r="A81" s="21">
        <v>688</v>
      </c>
      <c r="B81" s="21" t="s">
        <v>111</v>
      </c>
      <c r="C81" s="21">
        <v>1276.485</v>
      </c>
      <c r="D81" s="21">
        <v>1568.808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2</v>
      </c>
      <c r="L81" s="22">
        <v>0</v>
      </c>
      <c r="M81" s="22">
        <v>0</v>
      </c>
      <c r="N81" s="22">
        <v>0</v>
      </c>
      <c r="O81" s="22">
        <v>0</v>
      </c>
      <c r="P81" s="22">
        <v>15.042</v>
      </c>
      <c r="Q81" s="22">
        <v>0</v>
      </c>
      <c r="R81" s="22">
        <v>-1</v>
      </c>
      <c r="S81" s="23"/>
      <c r="T81" s="23"/>
      <c r="U81" s="23"/>
      <c r="V81" s="23"/>
      <c r="W81" s="23"/>
    </row>
    <row r="82" ht="16.5" spans="1:23">
      <c r="A82" s="21">
        <v>691</v>
      </c>
      <c r="B82" s="21" t="s">
        <v>448</v>
      </c>
      <c r="C82" s="21">
        <v>1360.682</v>
      </c>
      <c r="D82" s="21">
        <v>1701.389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2</v>
      </c>
      <c r="L82" s="22">
        <v>0</v>
      </c>
      <c r="M82" s="22">
        <v>0</v>
      </c>
      <c r="N82" s="22">
        <v>0</v>
      </c>
      <c r="O82" s="22">
        <v>0</v>
      </c>
      <c r="P82" s="22">
        <v>-3.506</v>
      </c>
      <c r="Q82" s="22">
        <v>0</v>
      </c>
      <c r="R82" s="22">
        <v>-1</v>
      </c>
      <c r="S82" s="23"/>
      <c r="T82" s="23"/>
      <c r="U82" s="23"/>
      <c r="V82" s="23"/>
      <c r="W82" s="23"/>
    </row>
    <row r="83" ht="16.5" spans="1:23">
      <c r="A83" s="21">
        <v>806</v>
      </c>
      <c r="B83" s="21" t="s">
        <v>449</v>
      </c>
      <c r="C83" s="21">
        <v>8100.611</v>
      </c>
      <c r="D83" s="21">
        <v>9091.754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2</v>
      </c>
      <c r="L83" s="22">
        <v>0</v>
      </c>
      <c r="M83" s="22">
        <v>0</v>
      </c>
      <c r="N83" s="22">
        <v>0</v>
      </c>
      <c r="O83" s="22">
        <v>0</v>
      </c>
      <c r="P83" s="22">
        <v>6.399</v>
      </c>
      <c r="Q83" s="22">
        <v>0</v>
      </c>
      <c r="R83" s="22">
        <v>-1</v>
      </c>
      <c r="S83" s="23"/>
      <c r="T83" s="23"/>
      <c r="U83" s="23"/>
      <c r="V83" s="23"/>
      <c r="W83" s="23"/>
    </row>
    <row r="84" ht="16.5" spans="1:23">
      <c r="A84" s="21">
        <v>807</v>
      </c>
      <c r="B84" s="21" t="s">
        <v>93</v>
      </c>
      <c r="C84" s="21">
        <v>17408.482</v>
      </c>
      <c r="D84" s="21">
        <v>19508.662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2</v>
      </c>
      <c r="L84" s="22">
        <v>0</v>
      </c>
      <c r="M84" s="22">
        <v>0</v>
      </c>
      <c r="N84" s="22">
        <v>0</v>
      </c>
      <c r="O84" s="22">
        <v>0</v>
      </c>
      <c r="P84" s="22">
        <v>1.613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815</v>
      </c>
      <c r="B85" s="21" t="s">
        <v>450</v>
      </c>
      <c r="C85" s="21">
        <v>17847.879</v>
      </c>
      <c r="D85" s="21">
        <v>19988.773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-4.657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828</v>
      </c>
      <c r="B86" s="21" t="s">
        <v>451</v>
      </c>
      <c r="C86" s="21">
        <v>2860.133</v>
      </c>
      <c r="D86" s="21">
        <v>3329.486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2</v>
      </c>
      <c r="L86" s="22">
        <v>0</v>
      </c>
      <c r="M86" s="22">
        <v>0</v>
      </c>
      <c r="N86" s="22">
        <v>0</v>
      </c>
      <c r="O86" s="22">
        <v>0</v>
      </c>
      <c r="P86" s="22">
        <v>-15.639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846</v>
      </c>
      <c r="B87" s="21" t="s">
        <v>452</v>
      </c>
      <c r="C87" s="21">
        <v>1357.586</v>
      </c>
      <c r="D87" s="21">
        <v>1486.304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1</v>
      </c>
      <c r="L87" s="22">
        <v>0</v>
      </c>
      <c r="M87" s="22">
        <v>0</v>
      </c>
      <c r="N87" s="22">
        <v>0</v>
      </c>
      <c r="O87" s="22">
        <v>0</v>
      </c>
      <c r="P87" s="22">
        <v>-3.49</v>
      </c>
      <c r="Q87" s="22">
        <v>0</v>
      </c>
      <c r="R87" s="22">
        <v>-1</v>
      </c>
      <c r="S87" s="23"/>
      <c r="T87" s="23"/>
      <c r="U87" s="23"/>
      <c r="V87" s="23"/>
      <c r="W87" s="23"/>
    </row>
    <row r="88" ht="16.5" spans="1:23">
      <c r="A88" s="21">
        <v>849</v>
      </c>
      <c r="B88" s="21" t="s">
        <v>453</v>
      </c>
      <c r="C88" s="21">
        <v>9983.962</v>
      </c>
      <c r="D88" s="21">
        <v>12009.062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1</v>
      </c>
      <c r="L88" s="22">
        <v>0</v>
      </c>
      <c r="M88" s="22">
        <v>0</v>
      </c>
      <c r="N88" s="22">
        <v>0</v>
      </c>
      <c r="O88" s="22">
        <v>0</v>
      </c>
      <c r="P88" s="22">
        <v>4.322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865</v>
      </c>
      <c r="B89" s="21" t="s">
        <v>454</v>
      </c>
      <c r="C89" s="21">
        <v>1437.508</v>
      </c>
      <c r="D89" s="21">
        <v>1631.846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1</v>
      </c>
      <c r="L89" s="22">
        <v>0</v>
      </c>
      <c r="M89" s="22">
        <v>0</v>
      </c>
      <c r="N89" s="22">
        <v>0</v>
      </c>
      <c r="O89" s="22">
        <v>0</v>
      </c>
      <c r="P89" s="22">
        <v>-2.782</v>
      </c>
      <c r="Q89" s="22">
        <v>0</v>
      </c>
      <c r="R89" s="22">
        <v>-1</v>
      </c>
      <c r="S89" s="23"/>
      <c r="T89" s="23"/>
      <c r="U89" s="23"/>
      <c r="V89" s="23"/>
      <c r="W89" s="23"/>
    </row>
    <row r="90" ht="16.5" spans="1:23">
      <c r="A90" s="21">
        <v>867</v>
      </c>
      <c r="B90" s="21" t="s">
        <v>455</v>
      </c>
      <c r="C90" s="21">
        <v>2642.942</v>
      </c>
      <c r="D90" s="21">
        <v>2951.857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-0.004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903</v>
      </c>
      <c r="B91" s="21" t="s">
        <v>51</v>
      </c>
      <c r="C91" s="21">
        <v>4317.143</v>
      </c>
      <c r="D91" s="21">
        <v>4719.756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2</v>
      </c>
      <c r="L91" s="22">
        <v>0</v>
      </c>
      <c r="M91" s="22">
        <v>0</v>
      </c>
      <c r="N91" s="22">
        <v>-1</v>
      </c>
      <c r="O91" s="22">
        <v>0</v>
      </c>
      <c r="P91" s="22">
        <v>3.404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911</v>
      </c>
      <c r="B92" s="21" t="s">
        <v>456</v>
      </c>
      <c r="C92" s="21">
        <v>6130.52</v>
      </c>
      <c r="D92" s="21">
        <v>6725.765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2</v>
      </c>
      <c r="L92" s="22">
        <v>0</v>
      </c>
      <c r="M92" s="22">
        <v>0</v>
      </c>
      <c r="N92" s="22">
        <v>0</v>
      </c>
      <c r="O92" s="22">
        <v>0</v>
      </c>
      <c r="P92" s="22">
        <v>-11.413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914</v>
      </c>
      <c r="B93" s="21" t="s">
        <v>457</v>
      </c>
      <c r="C93" s="21">
        <v>6229.484</v>
      </c>
      <c r="D93" s="21">
        <v>6958.337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2</v>
      </c>
      <c r="L93" s="22">
        <v>0</v>
      </c>
      <c r="M93" s="22">
        <v>0</v>
      </c>
      <c r="N93" s="22">
        <v>-1</v>
      </c>
      <c r="O93" s="22">
        <v>0</v>
      </c>
      <c r="P93" s="22">
        <v>5.747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915</v>
      </c>
      <c r="B94" s="21" t="s">
        <v>458</v>
      </c>
      <c r="C94" s="21">
        <v>3016.429</v>
      </c>
      <c r="D94" s="21">
        <v>3633.171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2</v>
      </c>
      <c r="L94" s="22">
        <v>0</v>
      </c>
      <c r="M94" s="22">
        <v>0</v>
      </c>
      <c r="N94" s="22">
        <v>0</v>
      </c>
      <c r="O94" s="22">
        <v>0</v>
      </c>
      <c r="P94" s="22">
        <v>17.246</v>
      </c>
      <c r="Q94" s="22">
        <v>0</v>
      </c>
      <c r="R94" s="22">
        <v>-1</v>
      </c>
      <c r="S94" s="23"/>
      <c r="T94" s="23"/>
      <c r="U94" s="23"/>
      <c r="V94" s="23"/>
      <c r="W94" s="23"/>
    </row>
    <row r="95" ht="16.5" spans="1:23">
      <c r="A95" s="21">
        <v>919</v>
      </c>
      <c r="B95" s="21" t="s">
        <v>459</v>
      </c>
      <c r="C95" s="21">
        <v>5134.56</v>
      </c>
      <c r="D95" s="21">
        <v>5472.014</v>
      </c>
      <c r="E95" s="21">
        <v>0</v>
      </c>
      <c r="F95" s="21">
        <v>0</v>
      </c>
      <c r="G95" s="21">
        <v>1</v>
      </c>
      <c r="H95" s="18">
        <v>0</v>
      </c>
      <c r="I95" s="18">
        <v>0</v>
      </c>
      <c r="J95" s="18">
        <v>0</v>
      </c>
      <c r="K95" s="22">
        <v>2</v>
      </c>
      <c r="L95" s="22">
        <v>0</v>
      </c>
      <c r="M95" s="22">
        <v>0</v>
      </c>
      <c r="N95" s="22">
        <v>-1</v>
      </c>
      <c r="O95" s="22">
        <v>0</v>
      </c>
      <c r="P95" s="22">
        <v>-9.773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925</v>
      </c>
      <c r="B96" s="21" t="s">
        <v>460</v>
      </c>
      <c r="C96" s="21">
        <v>4410.286</v>
      </c>
      <c r="D96" s="21">
        <v>4742.529</v>
      </c>
      <c r="E96" s="21">
        <v>0</v>
      </c>
      <c r="F96" s="21">
        <v>0</v>
      </c>
      <c r="G96" s="21">
        <v>1</v>
      </c>
      <c r="H96" s="18">
        <v>0</v>
      </c>
      <c r="I96" s="18">
        <v>0</v>
      </c>
      <c r="J96" s="18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-4.028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931</v>
      </c>
      <c r="B97" s="21" t="s">
        <v>461</v>
      </c>
      <c r="C97" s="21">
        <v>5763.617</v>
      </c>
      <c r="D97" s="21">
        <v>6375.768</v>
      </c>
      <c r="E97" s="21">
        <v>0</v>
      </c>
      <c r="F97" s="21">
        <v>0</v>
      </c>
      <c r="G97" s="21">
        <v>1</v>
      </c>
      <c r="H97" s="18">
        <v>0</v>
      </c>
      <c r="I97" s="18">
        <v>0</v>
      </c>
      <c r="J97" s="18">
        <v>0</v>
      </c>
      <c r="K97" s="22">
        <v>2</v>
      </c>
      <c r="L97" s="22">
        <v>0</v>
      </c>
      <c r="M97" s="22">
        <v>0</v>
      </c>
      <c r="N97" s="22">
        <v>0</v>
      </c>
      <c r="O97" s="22">
        <v>0</v>
      </c>
      <c r="P97" s="22">
        <v>9.142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932</v>
      </c>
      <c r="B98" s="21" t="s">
        <v>462</v>
      </c>
      <c r="C98" s="21">
        <v>14518.037</v>
      </c>
      <c r="D98" s="21">
        <v>16055.016</v>
      </c>
      <c r="E98" s="21">
        <v>0</v>
      </c>
      <c r="F98" s="21">
        <v>0</v>
      </c>
      <c r="G98" s="21">
        <v>1</v>
      </c>
      <c r="H98" s="18">
        <v>0</v>
      </c>
      <c r="I98" s="18">
        <v>0</v>
      </c>
      <c r="J98" s="18">
        <v>0</v>
      </c>
      <c r="K98" s="22">
        <v>1</v>
      </c>
      <c r="L98" s="22">
        <v>0</v>
      </c>
      <c r="M98" s="22">
        <v>0</v>
      </c>
      <c r="N98" s="22">
        <v>0</v>
      </c>
      <c r="O98" s="22">
        <v>0</v>
      </c>
      <c r="P98" s="22">
        <v>-12.031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934</v>
      </c>
      <c r="B99" s="21" t="s">
        <v>463</v>
      </c>
      <c r="C99" s="21">
        <v>5849.536</v>
      </c>
      <c r="D99" s="21">
        <v>6496.093</v>
      </c>
      <c r="E99" s="21">
        <v>0</v>
      </c>
      <c r="F99" s="21">
        <v>0</v>
      </c>
      <c r="G99" s="21">
        <v>1</v>
      </c>
      <c r="H99" s="18">
        <v>0</v>
      </c>
      <c r="I99" s="18">
        <v>0</v>
      </c>
      <c r="J99" s="18">
        <v>0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-0.415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942</v>
      </c>
      <c r="B100" s="21" t="s">
        <v>464</v>
      </c>
      <c r="C100" s="21">
        <v>9666.158</v>
      </c>
      <c r="D100" s="21">
        <v>10517.109</v>
      </c>
      <c r="E100" s="21">
        <v>0</v>
      </c>
      <c r="F100" s="21">
        <v>0</v>
      </c>
      <c r="G100" s="21">
        <v>1</v>
      </c>
      <c r="H100" s="18">
        <v>0</v>
      </c>
      <c r="I100" s="18">
        <v>0</v>
      </c>
      <c r="J100" s="18">
        <v>0</v>
      </c>
      <c r="K100" s="22">
        <v>2</v>
      </c>
      <c r="L100" s="22">
        <v>0</v>
      </c>
      <c r="M100" s="22">
        <v>0</v>
      </c>
      <c r="N100" s="22">
        <v>0</v>
      </c>
      <c r="O100" s="22">
        <v>0</v>
      </c>
      <c r="P100" s="22">
        <v>-8.454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948</v>
      </c>
      <c r="B101" s="21" t="s">
        <v>465</v>
      </c>
      <c r="C101" s="21">
        <v>2453.16</v>
      </c>
      <c r="D101" s="21">
        <v>2858.377</v>
      </c>
      <c r="E101" s="21">
        <v>0</v>
      </c>
      <c r="F101" s="21">
        <v>0</v>
      </c>
      <c r="G101" s="21">
        <v>1</v>
      </c>
      <c r="H101" s="18">
        <v>0</v>
      </c>
      <c r="I101" s="18">
        <v>0</v>
      </c>
      <c r="J101" s="18">
        <v>0</v>
      </c>
      <c r="K101" s="22">
        <v>4</v>
      </c>
      <c r="L101" s="22">
        <v>2</v>
      </c>
      <c r="M101" s="22">
        <v>0</v>
      </c>
      <c r="N101" s="22">
        <v>1</v>
      </c>
      <c r="O101" s="22">
        <v>0</v>
      </c>
      <c r="P101" s="22">
        <v>7.938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952</v>
      </c>
      <c r="B102" s="21" t="s">
        <v>466</v>
      </c>
      <c r="C102" s="21">
        <v>2348.846</v>
      </c>
      <c r="D102" s="21">
        <v>2816.934</v>
      </c>
      <c r="E102" s="21">
        <v>0</v>
      </c>
      <c r="F102" s="21">
        <v>0</v>
      </c>
      <c r="G102" s="21">
        <v>1</v>
      </c>
      <c r="H102" s="18">
        <v>0</v>
      </c>
      <c r="I102" s="18">
        <v>0</v>
      </c>
      <c r="J102" s="18">
        <v>0</v>
      </c>
      <c r="K102" s="22">
        <v>2</v>
      </c>
      <c r="L102" s="22">
        <v>0</v>
      </c>
      <c r="M102" s="22">
        <v>1</v>
      </c>
      <c r="N102" s="22">
        <v>-1</v>
      </c>
      <c r="O102" s="22">
        <v>0</v>
      </c>
      <c r="P102" s="22">
        <v>-6.44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959</v>
      </c>
      <c r="B103" s="21" t="s">
        <v>467</v>
      </c>
      <c r="C103" s="21">
        <v>7856.329</v>
      </c>
      <c r="D103" s="21">
        <v>8430.727</v>
      </c>
      <c r="E103" s="21">
        <v>0</v>
      </c>
      <c r="F103" s="21">
        <v>0</v>
      </c>
      <c r="G103" s="21">
        <v>1</v>
      </c>
      <c r="H103" s="18">
        <v>0</v>
      </c>
      <c r="I103" s="18">
        <v>0</v>
      </c>
      <c r="J103" s="18">
        <v>0</v>
      </c>
      <c r="K103" s="22">
        <v>2</v>
      </c>
      <c r="L103" s="22">
        <v>0</v>
      </c>
      <c r="M103" s="22">
        <v>1</v>
      </c>
      <c r="N103" s="22">
        <v>-1</v>
      </c>
      <c r="O103" s="22">
        <v>0</v>
      </c>
      <c r="P103" s="22">
        <v>-2.931</v>
      </c>
      <c r="Q103" s="22">
        <v>-1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965</v>
      </c>
      <c r="B104" s="21" t="s">
        <v>468</v>
      </c>
      <c r="C104" s="21">
        <v>5413.545</v>
      </c>
      <c r="D104" s="21">
        <v>5733.158</v>
      </c>
      <c r="E104" s="21">
        <v>0</v>
      </c>
      <c r="F104" s="21">
        <v>0</v>
      </c>
      <c r="G104" s="21">
        <v>1</v>
      </c>
      <c r="H104" s="18">
        <v>0</v>
      </c>
      <c r="I104" s="18">
        <v>0</v>
      </c>
      <c r="J104" s="18">
        <v>0</v>
      </c>
      <c r="K104" s="22">
        <v>2</v>
      </c>
      <c r="L104" s="22">
        <v>0</v>
      </c>
      <c r="M104" s="22">
        <v>0</v>
      </c>
      <c r="N104" s="22">
        <v>0</v>
      </c>
      <c r="O104" s="22">
        <v>0</v>
      </c>
      <c r="P104" s="22">
        <v>-0.579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971</v>
      </c>
      <c r="B105" s="21" t="s">
        <v>469</v>
      </c>
      <c r="C105" s="21">
        <v>3193.494</v>
      </c>
      <c r="D105" s="21">
        <v>3569.141</v>
      </c>
      <c r="E105" s="21">
        <v>0</v>
      </c>
      <c r="F105" s="21">
        <v>0</v>
      </c>
      <c r="G105" s="21">
        <v>1</v>
      </c>
      <c r="H105" s="18">
        <v>0</v>
      </c>
      <c r="I105" s="18">
        <v>0</v>
      </c>
      <c r="J105" s="18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0.013</v>
      </c>
      <c r="Q105" s="22">
        <v>0</v>
      </c>
      <c r="R105" s="22">
        <v>1</v>
      </c>
      <c r="S105" s="23"/>
      <c r="T105" s="23"/>
      <c r="U105" s="23"/>
      <c r="V105" s="23"/>
      <c r="W105" s="23"/>
    </row>
    <row r="106" ht="16.5" spans="1:23">
      <c r="A106" s="21">
        <v>974</v>
      </c>
      <c r="B106" s="21" t="s">
        <v>470</v>
      </c>
      <c r="C106" s="21">
        <v>6554.784</v>
      </c>
      <c r="D106" s="21">
        <v>7296.837</v>
      </c>
      <c r="E106" s="21">
        <v>0</v>
      </c>
      <c r="F106" s="21">
        <v>0</v>
      </c>
      <c r="G106" s="21">
        <v>1</v>
      </c>
      <c r="H106" s="18">
        <v>0</v>
      </c>
      <c r="I106" s="18">
        <v>0</v>
      </c>
      <c r="J106" s="18">
        <v>0</v>
      </c>
      <c r="K106" s="22">
        <v>1</v>
      </c>
      <c r="L106" s="22">
        <v>0</v>
      </c>
      <c r="M106" s="22">
        <v>0</v>
      </c>
      <c r="N106" s="22">
        <v>0</v>
      </c>
      <c r="O106" s="22">
        <v>0</v>
      </c>
      <c r="P106" s="22">
        <v>-1.678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980</v>
      </c>
      <c r="B107" s="21" t="s">
        <v>471</v>
      </c>
      <c r="C107" s="21">
        <v>3238.401</v>
      </c>
      <c r="D107" s="21">
        <v>3471.284</v>
      </c>
      <c r="E107" s="21">
        <v>0</v>
      </c>
      <c r="F107" s="21">
        <v>0</v>
      </c>
      <c r="G107" s="21">
        <v>1</v>
      </c>
      <c r="H107" s="18">
        <v>0</v>
      </c>
      <c r="I107" s="18">
        <v>0</v>
      </c>
      <c r="J107" s="18">
        <v>0</v>
      </c>
      <c r="K107" s="22">
        <v>2</v>
      </c>
      <c r="L107" s="22">
        <v>0</v>
      </c>
      <c r="M107" s="22">
        <v>0</v>
      </c>
      <c r="N107" s="22">
        <v>0</v>
      </c>
      <c r="O107" s="22">
        <v>0</v>
      </c>
      <c r="P107" s="22">
        <v>8.732</v>
      </c>
      <c r="Q107" s="22">
        <v>0</v>
      </c>
      <c r="R107" s="22">
        <v>-1</v>
      </c>
      <c r="S107" s="23"/>
      <c r="T107" s="23"/>
      <c r="U107" s="23"/>
      <c r="V107" s="23"/>
      <c r="W107" s="23"/>
    </row>
    <row r="108" ht="16.5" spans="1:23">
      <c r="A108" s="21">
        <v>989</v>
      </c>
      <c r="B108" s="21" t="s">
        <v>472</v>
      </c>
      <c r="C108" s="21">
        <v>5204.693</v>
      </c>
      <c r="D108" s="21">
        <v>5773.721</v>
      </c>
      <c r="E108" s="21">
        <v>0</v>
      </c>
      <c r="F108" s="21">
        <v>0</v>
      </c>
      <c r="G108" s="21">
        <v>1</v>
      </c>
      <c r="H108" s="18">
        <v>0</v>
      </c>
      <c r="I108" s="18">
        <v>0</v>
      </c>
      <c r="J108" s="18">
        <v>0</v>
      </c>
      <c r="K108" s="22">
        <v>2</v>
      </c>
      <c r="L108" s="22">
        <v>0</v>
      </c>
      <c r="M108" s="22">
        <v>0</v>
      </c>
      <c r="N108" s="22">
        <v>0</v>
      </c>
      <c r="O108" s="22">
        <v>0</v>
      </c>
      <c r="P108" s="22">
        <v>-1.691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990</v>
      </c>
      <c r="B109" s="21" t="s">
        <v>473</v>
      </c>
      <c r="C109" s="21">
        <v>12146.556</v>
      </c>
      <c r="D109" s="21">
        <v>13450.066</v>
      </c>
      <c r="E109" s="21">
        <v>0</v>
      </c>
      <c r="F109" s="21">
        <v>0</v>
      </c>
      <c r="G109" s="21">
        <v>1</v>
      </c>
      <c r="H109" s="18">
        <v>0</v>
      </c>
      <c r="I109" s="18">
        <v>0</v>
      </c>
      <c r="J109" s="18">
        <v>0</v>
      </c>
      <c r="K109" s="22">
        <v>2</v>
      </c>
      <c r="L109" s="22">
        <v>0</v>
      </c>
      <c r="M109" s="22">
        <v>0</v>
      </c>
      <c r="N109" s="22">
        <v>0</v>
      </c>
      <c r="O109" s="22">
        <v>0</v>
      </c>
      <c r="P109" s="22">
        <v>2.433</v>
      </c>
      <c r="Q109" s="22">
        <v>0</v>
      </c>
      <c r="R109" s="22">
        <v>-1</v>
      </c>
      <c r="S109" s="23"/>
      <c r="T109" s="23"/>
      <c r="U109" s="23"/>
      <c r="V109" s="23"/>
      <c r="W109" s="23"/>
    </row>
    <row r="110" ht="16.5" spans="1:23">
      <c r="A110" s="21">
        <v>992</v>
      </c>
      <c r="B110" s="21" t="s">
        <v>474</v>
      </c>
      <c r="C110" s="21">
        <v>5601.54</v>
      </c>
      <c r="D110" s="21">
        <v>6201.538</v>
      </c>
      <c r="E110" s="21">
        <v>0</v>
      </c>
      <c r="F110" s="21">
        <v>0</v>
      </c>
      <c r="G110" s="21">
        <v>1</v>
      </c>
      <c r="H110" s="18">
        <v>0</v>
      </c>
      <c r="I110" s="18">
        <v>0</v>
      </c>
      <c r="J110" s="18">
        <v>0</v>
      </c>
      <c r="K110" s="22">
        <v>2</v>
      </c>
      <c r="L110" s="22">
        <v>1</v>
      </c>
      <c r="M110" s="22">
        <v>-1</v>
      </c>
      <c r="N110" s="22">
        <v>1</v>
      </c>
      <c r="O110" s="22">
        <v>0</v>
      </c>
      <c r="P110" s="22">
        <v>-8.517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399003</v>
      </c>
      <c r="B111" s="21" t="s">
        <v>475</v>
      </c>
      <c r="C111" s="21">
        <v>7919.962</v>
      </c>
      <c r="D111" s="21">
        <v>8588.868</v>
      </c>
      <c r="E111" s="21">
        <v>0</v>
      </c>
      <c r="F111" s="21">
        <v>0</v>
      </c>
      <c r="G111" s="21">
        <v>1</v>
      </c>
      <c r="H111" s="18">
        <v>0</v>
      </c>
      <c r="I111" s="18">
        <v>0</v>
      </c>
      <c r="J111" s="18">
        <v>0</v>
      </c>
      <c r="K111" s="22">
        <v>2</v>
      </c>
      <c r="L111" s="22">
        <v>0</v>
      </c>
      <c r="M111" s="22">
        <v>0</v>
      </c>
      <c r="N111" s="22">
        <v>0</v>
      </c>
      <c r="O111" s="22">
        <v>0</v>
      </c>
      <c r="P111" s="22">
        <v>6.154</v>
      </c>
      <c r="Q111" s="22">
        <v>0</v>
      </c>
      <c r="R111" s="22">
        <v>-1</v>
      </c>
      <c r="S111" s="23"/>
      <c r="T111" s="23"/>
      <c r="U111" s="23"/>
      <c r="V111" s="23"/>
      <c r="W111" s="23"/>
    </row>
    <row r="112" ht="16.5" spans="1:23">
      <c r="A112" s="21">
        <v>399030</v>
      </c>
      <c r="B112" s="21" t="s">
        <v>476</v>
      </c>
      <c r="C112" s="21">
        <v>4319.254</v>
      </c>
      <c r="D112" s="21">
        <v>4967.604</v>
      </c>
      <c r="E112" s="21">
        <v>0</v>
      </c>
      <c r="F112" s="21">
        <v>0</v>
      </c>
      <c r="G112" s="21">
        <v>1</v>
      </c>
      <c r="H112" s="18">
        <v>0</v>
      </c>
      <c r="I112" s="18">
        <v>0</v>
      </c>
      <c r="J112" s="18">
        <v>0</v>
      </c>
      <c r="K112" s="22">
        <v>1</v>
      </c>
      <c r="L112" s="22">
        <v>0</v>
      </c>
      <c r="M112" s="22">
        <v>0</v>
      </c>
      <c r="N112" s="22">
        <v>-1</v>
      </c>
      <c r="O112" s="22">
        <v>0</v>
      </c>
      <c r="P112" s="22">
        <v>0.704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399108</v>
      </c>
      <c r="B113" s="21" t="s">
        <v>477</v>
      </c>
      <c r="C113" s="21">
        <v>1213.418</v>
      </c>
      <c r="D113" s="21">
        <v>1303.053</v>
      </c>
      <c r="E113" s="21">
        <v>0</v>
      </c>
      <c r="F113" s="21">
        <v>0</v>
      </c>
      <c r="G113" s="21">
        <v>1</v>
      </c>
      <c r="H113" s="18">
        <v>0</v>
      </c>
      <c r="I113" s="18">
        <v>0</v>
      </c>
      <c r="J113" s="18">
        <v>0</v>
      </c>
      <c r="K113" s="22">
        <v>2</v>
      </c>
      <c r="L113" s="22">
        <v>0</v>
      </c>
      <c r="M113" s="22">
        <v>0</v>
      </c>
      <c r="N113" s="22">
        <v>0</v>
      </c>
      <c r="O113" s="22">
        <v>-1</v>
      </c>
      <c r="P113" s="22">
        <v>-8.814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399231</v>
      </c>
      <c r="B114" s="21" t="s">
        <v>478</v>
      </c>
      <c r="C114" s="21">
        <v>1303.394</v>
      </c>
      <c r="D114" s="21">
        <v>1454.255</v>
      </c>
      <c r="E114" s="21">
        <v>0</v>
      </c>
      <c r="F114" s="21">
        <v>0</v>
      </c>
      <c r="G114" s="21">
        <v>1</v>
      </c>
      <c r="H114" s="18">
        <v>0</v>
      </c>
      <c r="I114" s="18">
        <v>0</v>
      </c>
      <c r="J114" s="18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-7.584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399236</v>
      </c>
      <c r="B115" s="21" t="s">
        <v>479</v>
      </c>
      <c r="C115" s="21">
        <v>1471.165</v>
      </c>
      <c r="D115" s="21">
        <v>1684.103</v>
      </c>
      <c r="E115" s="21">
        <v>0</v>
      </c>
      <c r="F115" s="21">
        <v>0</v>
      </c>
      <c r="G115" s="21">
        <v>1</v>
      </c>
      <c r="H115" s="18">
        <v>0</v>
      </c>
      <c r="I115" s="18">
        <v>0</v>
      </c>
      <c r="J115" s="18">
        <v>0</v>
      </c>
      <c r="K115" s="22">
        <v>2</v>
      </c>
      <c r="L115" s="22">
        <v>0</v>
      </c>
      <c r="M115" s="22">
        <v>0</v>
      </c>
      <c r="N115" s="22">
        <v>0</v>
      </c>
      <c r="O115" s="22">
        <v>0</v>
      </c>
      <c r="P115" s="22">
        <v>2.759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399237</v>
      </c>
      <c r="B116" s="21" t="s">
        <v>480</v>
      </c>
      <c r="C116" s="21">
        <v>1068.608</v>
      </c>
      <c r="D116" s="21">
        <v>1142.998</v>
      </c>
      <c r="E116" s="21">
        <v>0</v>
      </c>
      <c r="F116" s="21">
        <v>0</v>
      </c>
      <c r="G116" s="21">
        <v>1</v>
      </c>
      <c r="H116" s="18">
        <v>0</v>
      </c>
      <c r="I116" s="18">
        <v>0</v>
      </c>
      <c r="J116" s="18">
        <v>0</v>
      </c>
      <c r="K116" s="22">
        <v>2</v>
      </c>
      <c r="L116" s="22">
        <v>0</v>
      </c>
      <c r="M116" s="22">
        <v>0</v>
      </c>
      <c r="N116" s="22">
        <v>0</v>
      </c>
      <c r="O116" s="22">
        <v>0</v>
      </c>
      <c r="P116" s="22">
        <v>-15.297</v>
      </c>
      <c r="Q116" s="22">
        <v>0</v>
      </c>
      <c r="R116" s="22">
        <v>-1</v>
      </c>
      <c r="S116" s="23"/>
      <c r="T116" s="23"/>
      <c r="U116" s="23"/>
      <c r="V116" s="23"/>
      <c r="W116" s="23"/>
    </row>
    <row r="117" ht="16.5" spans="1:23">
      <c r="A117" s="21">
        <v>399239</v>
      </c>
      <c r="B117" s="21" t="s">
        <v>481</v>
      </c>
      <c r="C117" s="21">
        <v>1923.044</v>
      </c>
      <c r="D117" s="21">
        <v>2534.869</v>
      </c>
      <c r="E117" s="21">
        <v>0</v>
      </c>
      <c r="F117" s="21">
        <v>0</v>
      </c>
      <c r="G117" s="21">
        <v>1</v>
      </c>
      <c r="H117" s="18">
        <v>0</v>
      </c>
      <c r="I117" s="18">
        <v>0</v>
      </c>
      <c r="J117" s="18">
        <v>0</v>
      </c>
      <c r="K117" s="22">
        <v>2</v>
      </c>
      <c r="L117" s="22">
        <v>0</v>
      </c>
      <c r="M117" s="22">
        <v>0</v>
      </c>
      <c r="N117" s="22">
        <v>0</v>
      </c>
      <c r="O117" s="22">
        <v>0</v>
      </c>
      <c r="P117" s="22">
        <v>-2.4</v>
      </c>
      <c r="Q117" s="22">
        <v>0</v>
      </c>
      <c r="R117" s="22">
        <v>-1</v>
      </c>
      <c r="S117" s="23"/>
      <c r="T117" s="23"/>
      <c r="U117" s="23"/>
      <c r="V117" s="23"/>
      <c r="W117" s="23"/>
    </row>
    <row r="118" ht="16.5" spans="1:23">
      <c r="A118" s="21">
        <v>399240</v>
      </c>
      <c r="B118" s="21" t="s">
        <v>482</v>
      </c>
      <c r="C118" s="21">
        <v>1510.835</v>
      </c>
      <c r="D118" s="21">
        <v>1721.676</v>
      </c>
      <c r="E118" s="21">
        <v>0</v>
      </c>
      <c r="F118" s="21">
        <v>0</v>
      </c>
      <c r="G118" s="21">
        <v>1</v>
      </c>
      <c r="H118" s="18">
        <v>0</v>
      </c>
      <c r="I118" s="18">
        <v>0</v>
      </c>
      <c r="J118" s="18">
        <v>0</v>
      </c>
      <c r="K118" s="22">
        <v>1</v>
      </c>
      <c r="L118" s="22">
        <v>0</v>
      </c>
      <c r="M118" s="22">
        <v>0</v>
      </c>
      <c r="N118" s="22">
        <v>0</v>
      </c>
      <c r="O118" s="22">
        <v>0</v>
      </c>
      <c r="P118" s="22">
        <v>2.246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399241</v>
      </c>
      <c r="B119" s="21" t="s">
        <v>408</v>
      </c>
      <c r="C119" s="21">
        <v>1148.816</v>
      </c>
      <c r="D119" s="21">
        <v>1349.744</v>
      </c>
      <c r="E119" s="21">
        <v>0</v>
      </c>
      <c r="F119" s="21">
        <v>0</v>
      </c>
      <c r="G119" s="21">
        <v>1</v>
      </c>
      <c r="H119" s="18">
        <v>0</v>
      </c>
      <c r="I119" s="18">
        <v>0</v>
      </c>
      <c r="J119" s="18">
        <v>0</v>
      </c>
      <c r="K119" s="22">
        <v>1</v>
      </c>
      <c r="L119" s="22">
        <v>0</v>
      </c>
      <c r="M119" s="22">
        <v>0</v>
      </c>
      <c r="N119" s="22">
        <v>0</v>
      </c>
      <c r="O119" s="22">
        <v>0</v>
      </c>
      <c r="P119" s="22">
        <v>-6.042</v>
      </c>
      <c r="Q119" s="22">
        <v>0</v>
      </c>
      <c r="R119" s="22">
        <v>-1</v>
      </c>
      <c r="S119" s="23"/>
      <c r="T119" s="23"/>
      <c r="U119" s="23"/>
      <c r="V119" s="23"/>
      <c r="W119" s="23"/>
    </row>
    <row r="120" ht="16.5" spans="1:23">
      <c r="A120" s="21">
        <v>399248</v>
      </c>
      <c r="B120" s="21" t="s">
        <v>350</v>
      </c>
      <c r="C120" s="21">
        <v>859.795</v>
      </c>
      <c r="D120" s="21">
        <v>1213.368</v>
      </c>
      <c r="E120" s="21">
        <v>0</v>
      </c>
      <c r="F120" s="21">
        <v>0</v>
      </c>
      <c r="G120" s="21">
        <v>1</v>
      </c>
      <c r="H120" s="18">
        <v>0</v>
      </c>
      <c r="I120" s="18">
        <v>0</v>
      </c>
      <c r="J120" s="18">
        <v>0</v>
      </c>
      <c r="K120" s="22">
        <v>2</v>
      </c>
      <c r="L120" s="22">
        <v>0</v>
      </c>
      <c r="M120" s="22">
        <v>0</v>
      </c>
      <c r="N120" s="22">
        <v>0</v>
      </c>
      <c r="O120" s="22">
        <v>0</v>
      </c>
      <c r="P120" s="22">
        <v>4.541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399259</v>
      </c>
      <c r="B121" s="21" t="s">
        <v>483</v>
      </c>
      <c r="C121" s="21">
        <v>4701.227</v>
      </c>
      <c r="D121" s="21">
        <v>5427.944</v>
      </c>
      <c r="E121" s="21">
        <v>0</v>
      </c>
      <c r="F121" s="21">
        <v>0</v>
      </c>
      <c r="G121" s="21">
        <v>1</v>
      </c>
      <c r="H121" s="18">
        <v>0</v>
      </c>
      <c r="I121" s="18">
        <v>0</v>
      </c>
      <c r="J121" s="18">
        <v>0</v>
      </c>
      <c r="K121" s="22">
        <v>4</v>
      </c>
      <c r="L121" s="22">
        <v>0</v>
      </c>
      <c r="M121" s="22">
        <v>0</v>
      </c>
      <c r="N121" s="22">
        <v>0</v>
      </c>
      <c r="O121" s="22">
        <v>0</v>
      </c>
      <c r="P121" s="22">
        <v>-2.572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399264</v>
      </c>
      <c r="B122" s="21" t="s">
        <v>484</v>
      </c>
      <c r="C122" s="21">
        <v>1354.197</v>
      </c>
      <c r="D122" s="21">
        <v>1857.978</v>
      </c>
      <c r="E122" s="21">
        <v>0</v>
      </c>
      <c r="F122" s="21">
        <v>0</v>
      </c>
      <c r="G122" s="21">
        <v>1</v>
      </c>
      <c r="H122" s="18">
        <v>0</v>
      </c>
      <c r="I122" s="18">
        <v>0</v>
      </c>
      <c r="J122" s="18">
        <v>0</v>
      </c>
      <c r="K122" s="22">
        <v>1</v>
      </c>
      <c r="L122" s="22">
        <v>0</v>
      </c>
      <c r="M122" s="22">
        <v>1</v>
      </c>
      <c r="N122" s="22">
        <v>-1</v>
      </c>
      <c r="O122" s="22">
        <v>0</v>
      </c>
      <c r="P122" s="22">
        <v>-1.505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399265</v>
      </c>
      <c r="B123" s="21" t="s">
        <v>485</v>
      </c>
      <c r="C123" s="21">
        <v>970.273</v>
      </c>
      <c r="D123" s="21">
        <v>1172.448</v>
      </c>
      <c r="E123" s="21">
        <v>0</v>
      </c>
      <c r="F123" s="21">
        <v>0</v>
      </c>
      <c r="G123" s="21">
        <v>1</v>
      </c>
      <c r="H123" s="18">
        <v>0</v>
      </c>
      <c r="I123" s="18">
        <v>0</v>
      </c>
      <c r="J123" s="18">
        <v>0</v>
      </c>
      <c r="K123" s="22">
        <v>3</v>
      </c>
      <c r="L123" s="22">
        <v>0</v>
      </c>
      <c r="M123" s="22">
        <v>0</v>
      </c>
      <c r="N123" s="22">
        <v>0</v>
      </c>
      <c r="O123" s="22">
        <v>0</v>
      </c>
      <c r="P123" s="22">
        <v>-24.26</v>
      </c>
      <c r="Q123" s="22">
        <v>0</v>
      </c>
      <c r="R123" s="22">
        <v>-1</v>
      </c>
      <c r="S123" s="23"/>
      <c r="T123" s="23"/>
      <c r="U123" s="23"/>
      <c r="V123" s="23"/>
      <c r="W123" s="23"/>
    </row>
    <row r="124" ht="16.5" spans="1:23">
      <c r="A124" s="21">
        <v>399275</v>
      </c>
      <c r="B124" s="21" t="s">
        <v>486</v>
      </c>
      <c r="C124" s="21">
        <v>2489.847</v>
      </c>
      <c r="D124" s="21">
        <v>2988.822</v>
      </c>
      <c r="E124" s="21">
        <v>0</v>
      </c>
      <c r="F124" s="21">
        <v>0</v>
      </c>
      <c r="G124" s="21">
        <v>1</v>
      </c>
      <c r="H124" s="18">
        <v>0</v>
      </c>
      <c r="I124" s="18">
        <v>0</v>
      </c>
      <c r="J124" s="18">
        <v>0</v>
      </c>
      <c r="K124" s="22">
        <v>2</v>
      </c>
      <c r="L124" s="22">
        <v>0</v>
      </c>
      <c r="M124" s="22">
        <v>0</v>
      </c>
      <c r="N124" s="22">
        <v>0</v>
      </c>
      <c r="O124" s="22">
        <v>0</v>
      </c>
      <c r="P124" s="22">
        <v>-4.302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399282</v>
      </c>
      <c r="B125" s="21" t="s">
        <v>487</v>
      </c>
      <c r="C125" s="21">
        <v>4806.139</v>
      </c>
      <c r="D125" s="21">
        <v>6338.656</v>
      </c>
      <c r="E125" s="21">
        <v>0</v>
      </c>
      <c r="F125" s="21">
        <v>0</v>
      </c>
      <c r="G125" s="21">
        <v>1</v>
      </c>
      <c r="H125" s="18">
        <v>0</v>
      </c>
      <c r="I125" s="18">
        <v>0</v>
      </c>
      <c r="J125" s="18">
        <v>0</v>
      </c>
      <c r="K125" s="22">
        <v>3</v>
      </c>
      <c r="L125" s="22">
        <v>0</v>
      </c>
      <c r="M125" s="22">
        <v>0</v>
      </c>
      <c r="N125" s="22">
        <v>0</v>
      </c>
      <c r="O125" s="22">
        <v>0</v>
      </c>
      <c r="P125" s="22">
        <v>-7.936</v>
      </c>
      <c r="Q125" s="22">
        <v>0</v>
      </c>
      <c r="R125" s="22">
        <v>-1</v>
      </c>
      <c r="S125" s="23"/>
      <c r="T125" s="23"/>
      <c r="U125" s="23"/>
      <c r="V125" s="23"/>
      <c r="W125" s="23"/>
    </row>
    <row r="126" ht="16.5" spans="1:23">
      <c r="A126" s="21">
        <v>399284</v>
      </c>
      <c r="B126" s="21" t="s">
        <v>488</v>
      </c>
      <c r="C126" s="21">
        <v>3563.871</v>
      </c>
      <c r="D126" s="21">
        <v>4416.513</v>
      </c>
      <c r="E126" s="21">
        <v>0</v>
      </c>
      <c r="F126" s="21">
        <v>0</v>
      </c>
      <c r="G126" s="21">
        <v>1</v>
      </c>
      <c r="H126" s="18">
        <v>0</v>
      </c>
      <c r="I126" s="18">
        <v>0</v>
      </c>
      <c r="J126" s="18">
        <v>0</v>
      </c>
      <c r="K126" s="22">
        <v>1</v>
      </c>
      <c r="L126" s="22">
        <v>0</v>
      </c>
      <c r="M126" s="22">
        <v>0</v>
      </c>
      <c r="N126" s="22">
        <v>0</v>
      </c>
      <c r="O126" s="22">
        <v>0</v>
      </c>
      <c r="P126" s="22">
        <v>0.278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399286</v>
      </c>
      <c r="B127" s="21" t="s">
        <v>489</v>
      </c>
      <c r="C127" s="21">
        <v>3793.582</v>
      </c>
      <c r="D127" s="21">
        <v>4760.495</v>
      </c>
      <c r="E127" s="21">
        <v>0</v>
      </c>
      <c r="F127" s="21">
        <v>0</v>
      </c>
      <c r="G127" s="21">
        <v>1</v>
      </c>
      <c r="H127" s="18">
        <v>0</v>
      </c>
      <c r="I127" s="18">
        <v>0</v>
      </c>
      <c r="J127" s="18">
        <v>0</v>
      </c>
      <c r="K127" s="22">
        <v>2</v>
      </c>
      <c r="L127" s="22">
        <v>0</v>
      </c>
      <c r="M127" s="22">
        <v>0</v>
      </c>
      <c r="N127" s="22">
        <v>0</v>
      </c>
      <c r="O127" s="22">
        <v>0</v>
      </c>
      <c r="P127" s="22">
        <v>-1.896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399295</v>
      </c>
      <c r="B128" s="21" t="s">
        <v>349</v>
      </c>
      <c r="C128" s="21">
        <v>5128.272</v>
      </c>
      <c r="D128" s="21">
        <v>5918.581</v>
      </c>
      <c r="E128" s="21">
        <v>0</v>
      </c>
      <c r="F128" s="21">
        <v>0</v>
      </c>
      <c r="G128" s="21">
        <v>1</v>
      </c>
      <c r="H128" s="18">
        <v>0</v>
      </c>
      <c r="I128" s="18">
        <v>0</v>
      </c>
      <c r="J128" s="18">
        <v>0</v>
      </c>
      <c r="K128" s="22">
        <v>2</v>
      </c>
      <c r="L128" s="22">
        <v>0</v>
      </c>
      <c r="M128" s="22">
        <v>0</v>
      </c>
      <c r="N128" s="22">
        <v>-1</v>
      </c>
      <c r="O128" s="22">
        <v>0</v>
      </c>
      <c r="P128" s="22">
        <v>3.19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399300</v>
      </c>
      <c r="B129" s="21" t="s">
        <v>25</v>
      </c>
      <c r="C129" s="21">
        <v>4447.065</v>
      </c>
      <c r="D129" s="21">
        <v>4836.33</v>
      </c>
      <c r="E129" s="21">
        <v>0</v>
      </c>
      <c r="F129" s="21">
        <v>0</v>
      </c>
      <c r="G129" s="21">
        <v>1</v>
      </c>
      <c r="H129" s="18">
        <v>0</v>
      </c>
      <c r="I129" s="18">
        <v>0</v>
      </c>
      <c r="J129" s="18">
        <v>0</v>
      </c>
      <c r="K129" s="22">
        <v>3</v>
      </c>
      <c r="L129" s="22">
        <v>0</v>
      </c>
      <c r="M129" s="22">
        <v>0</v>
      </c>
      <c r="N129" s="22">
        <v>0</v>
      </c>
      <c r="O129" s="22">
        <v>0</v>
      </c>
      <c r="P129" s="22">
        <v>19.132</v>
      </c>
      <c r="Q129" s="22">
        <v>0</v>
      </c>
      <c r="R129" s="22">
        <v>-1</v>
      </c>
      <c r="S129" s="23"/>
      <c r="T129" s="23"/>
      <c r="U129" s="23"/>
      <c r="V129" s="23"/>
      <c r="W129" s="23"/>
    </row>
    <row r="130" ht="16.5" spans="1:23">
      <c r="A130" s="21">
        <v>399310</v>
      </c>
      <c r="B130" s="21" t="s">
        <v>490</v>
      </c>
      <c r="C130" s="21">
        <v>7613.2</v>
      </c>
      <c r="D130" s="21">
        <v>8366.73</v>
      </c>
      <c r="E130" s="21">
        <v>0</v>
      </c>
      <c r="F130" s="21">
        <v>0</v>
      </c>
      <c r="G130" s="21">
        <v>1</v>
      </c>
      <c r="H130" s="18">
        <v>0</v>
      </c>
      <c r="I130" s="18">
        <v>0</v>
      </c>
      <c r="J130" s="18">
        <v>0</v>
      </c>
      <c r="K130" s="22">
        <v>2</v>
      </c>
      <c r="L130" s="22">
        <v>0</v>
      </c>
      <c r="M130" s="22">
        <v>1</v>
      </c>
      <c r="N130" s="22">
        <v>-1</v>
      </c>
      <c r="O130" s="22">
        <v>0</v>
      </c>
      <c r="P130" s="22">
        <v>-13.025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399313</v>
      </c>
      <c r="B131" s="21" t="s">
        <v>491</v>
      </c>
      <c r="C131" s="21">
        <v>5188.343</v>
      </c>
      <c r="D131" s="21">
        <v>5619.814</v>
      </c>
      <c r="E131" s="21">
        <v>0</v>
      </c>
      <c r="F131" s="21">
        <v>0</v>
      </c>
      <c r="G131" s="21">
        <v>1</v>
      </c>
      <c r="H131" s="18">
        <v>0</v>
      </c>
      <c r="I131" s="18">
        <v>0</v>
      </c>
      <c r="J131" s="18">
        <v>0</v>
      </c>
      <c r="K131" s="22">
        <v>1</v>
      </c>
      <c r="L131" s="22">
        <v>0</v>
      </c>
      <c r="M131" s="22">
        <v>0</v>
      </c>
      <c r="N131" s="22">
        <v>0</v>
      </c>
      <c r="O131" s="22">
        <v>0</v>
      </c>
      <c r="P131" s="22">
        <v>-7.694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399314</v>
      </c>
      <c r="B132" s="21" t="s">
        <v>492</v>
      </c>
      <c r="C132" s="21">
        <v>4914.235</v>
      </c>
      <c r="D132" s="21">
        <v>5324.669</v>
      </c>
      <c r="E132" s="21">
        <v>0</v>
      </c>
      <c r="F132" s="21">
        <v>0</v>
      </c>
      <c r="G132" s="21">
        <v>1</v>
      </c>
      <c r="H132" s="18">
        <v>0</v>
      </c>
      <c r="I132" s="18">
        <v>0</v>
      </c>
      <c r="J132" s="18">
        <v>0</v>
      </c>
      <c r="K132" s="22">
        <v>1</v>
      </c>
      <c r="L132" s="22">
        <v>0</v>
      </c>
      <c r="M132" s="22">
        <v>0</v>
      </c>
      <c r="N132" s="22">
        <v>0</v>
      </c>
      <c r="O132" s="22">
        <v>0</v>
      </c>
      <c r="P132" s="22">
        <v>-5.454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399321</v>
      </c>
      <c r="B133" s="21" t="s">
        <v>240</v>
      </c>
      <c r="C133" s="21">
        <v>7454.571</v>
      </c>
      <c r="D133" s="21">
        <v>7956.597</v>
      </c>
      <c r="E133" s="21">
        <v>0</v>
      </c>
      <c r="F133" s="21">
        <v>0</v>
      </c>
      <c r="G133" s="21">
        <v>1</v>
      </c>
      <c r="H133" s="18">
        <v>0</v>
      </c>
      <c r="I133" s="18">
        <v>0</v>
      </c>
      <c r="J133" s="18">
        <v>0</v>
      </c>
      <c r="K133" s="22">
        <v>4</v>
      </c>
      <c r="L133" s="22">
        <v>0</v>
      </c>
      <c r="M133" s="22">
        <v>0</v>
      </c>
      <c r="N133" s="22">
        <v>0</v>
      </c>
      <c r="O133" s="22">
        <v>0</v>
      </c>
      <c r="P133" s="22">
        <v>-5.3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399322</v>
      </c>
      <c r="B134" s="21" t="s">
        <v>347</v>
      </c>
      <c r="C134" s="21">
        <v>10111.889</v>
      </c>
      <c r="D134" s="21">
        <v>10820.317</v>
      </c>
      <c r="E134" s="21">
        <v>0</v>
      </c>
      <c r="F134" s="21">
        <v>0</v>
      </c>
      <c r="G134" s="21">
        <v>1</v>
      </c>
      <c r="H134" s="18">
        <v>0</v>
      </c>
      <c r="I134" s="18">
        <v>0</v>
      </c>
      <c r="J134" s="18">
        <v>0</v>
      </c>
      <c r="K134" s="22">
        <v>2</v>
      </c>
      <c r="L134" s="22">
        <v>0</v>
      </c>
      <c r="M134" s="22">
        <v>0</v>
      </c>
      <c r="N134" s="22">
        <v>-1</v>
      </c>
      <c r="O134" s="22">
        <v>0</v>
      </c>
      <c r="P134" s="22">
        <v>0.38</v>
      </c>
      <c r="Q134" s="22">
        <v>0</v>
      </c>
      <c r="R134" s="22">
        <v>-1</v>
      </c>
      <c r="S134" s="23"/>
      <c r="T134" s="23"/>
      <c r="U134" s="23"/>
      <c r="V134" s="23"/>
      <c r="W134" s="23"/>
    </row>
    <row r="135" ht="16.5" spans="1:23">
      <c r="A135" s="21">
        <v>399328</v>
      </c>
      <c r="B135" s="21" t="s">
        <v>346</v>
      </c>
      <c r="C135" s="21">
        <v>10523.732</v>
      </c>
      <c r="D135" s="21">
        <v>11393.27</v>
      </c>
      <c r="E135" s="21">
        <v>0</v>
      </c>
      <c r="F135" s="21">
        <v>0</v>
      </c>
      <c r="G135" s="21">
        <v>1</v>
      </c>
      <c r="H135" s="18">
        <v>0</v>
      </c>
      <c r="I135" s="18">
        <v>0</v>
      </c>
      <c r="J135" s="18">
        <v>0</v>
      </c>
      <c r="K135" s="22">
        <v>3</v>
      </c>
      <c r="L135" s="22">
        <v>0</v>
      </c>
      <c r="M135" s="22">
        <v>0</v>
      </c>
      <c r="N135" s="22">
        <v>-1</v>
      </c>
      <c r="O135" s="22">
        <v>0</v>
      </c>
      <c r="P135" s="22">
        <v>-0.182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399341</v>
      </c>
      <c r="B136" s="21" t="s">
        <v>493</v>
      </c>
      <c r="C136" s="21">
        <v>1602.827</v>
      </c>
      <c r="D136" s="21">
        <v>1724.915</v>
      </c>
      <c r="E136" s="21">
        <v>0</v>
      </c>
      <c r="F136" s="21">
        <v>0</v>
      </c>
      <c r="G136" s="21">
        <v>1</v>
      </c>
      <c r="H136" s="18">
        <v>0</v>
      </c>
      <c r="I136" s="18">
        <v>0</v>
      </c>
      <c r="J136" s="18">
        <v>0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-0.913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399350</v>
      </c>
      <c r="B137" s="21" t="s">
        <v>494</v>
      </c>
      <c r="C137" s="21">
        <v>2793.111</v>
      </c>
      <c r="D137" s="21">
        <v>3308.25</v>
      </c>
      <c r="E137" s="21">
        <v>0</v>
      </c>
      <c r="F137" s="21">
        <v>0</v>
      </c>
      <c r="G137" s="21">
        <v>1</v>
      </c>
      <c r="H137" s="18">
        <v>0</v>
      </c>
      <c r="I137" s="18">
        <v>0</v>
      </c>
      <c r="J137" s="18">
        <v>0</v>
      </c>
      <c r="K137" s="22">
        <v>2</v>
      </c>
      <c r="L137" s="22">
        <v>0</v>
      </c>
      <c r="M137" s="22">
        <v>0</v>
      </c>
      <c r="N137" s="22">
        <v>0</v>
      </c>
      <c r="O137" s="22">
        <v>0</v>
      </c>
      <c r="P137" s="22">
        <v>2.742</v>
      </c>
      <c r="Q137" s="22">
        <v>0</v>
      </c>
      <c r="R137" s="22">
        <v>-1</v>
      </c>
      <c r="S137" s="23"/>
      <c r="T137" s="23"/>
      <c r="U137" s="23"/>
      <c r="V137" s="23"/>
      <c r="W137" s="23"/>
    </row>
    <row r="138" ht="16.5" spans="1:23">
      <c r="A138" s="21">
        <v>399351</v>
      </c>
      <c r="B138" s="21" t="s">
        <v>495</v>
      </c>
      <c r="C138" s="21">
        <v>9996.531</v>
      </c>
      <c r="D138" s="21">
        <v>11151.452</v>
      </c>
      <c r="E138" s="21">
        <v>0</v>
      </c>
      <c r="F138" s="21">
        <v>0</v>
      </c>
      <c r="G138" s="21">
        <v>1</v>
      </c>
      <c r="H138" s="18">
        <v>0</v>
      </c>
      <c r="I138" s="18">
        <v>0</v>
      </c>
      <c r="J138" s="18">
        <v>0</v>
      </c>
      <c r="K138" s="22">
        <v>1</v>
      </c>
      <c r="L138" s="22">
        <v>0</v>
      </c>
      <c r="M138" s="22">
        <v>0</v>
      </c>
      <c r="N138" s="22">
        <v>0</v>
      </c>
      <c r="O138" s="22">
        <v>0</v>
      </c>
      <c r="P138" s="22">
        <v>-1.657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399352</v>
      </c>
      <c r="B139" s="21" t="s">
        <v>496</v>
      </c>
      <c r="C139" s="21">
        <v>10234.093</v>
      </c>
      <c r="D139" s="21">
        <v>11371.475</v>
      </c>
      <c r="E139" s="21">
        <v>0</v>
      </c>
      <c r="F139" s="21">
        <v>0</v>
      </c>
      <c r="G139" s="21">
        <v>1</v>
      </c>
      <c r="H139" s="18">
        <v>0</v>
      </c>
      <c r="I139" s="18">
        <v>0</v>
      </c>
      <c r="J139" s="18">
        <v>0</v>
      </c>
      <c r="K139" s="22">
        <v>2</v>
      </c>
      <c r="L139" s="22">
        <v>0</v>
      </c>
      <c r="M139" s="22">
        <v>1</v>
      </c>
      <c r="N139" s="22">
        <v>-1</v>
      </c>
      <c r="O139" s="22">
        <v>0</v>
      </c>
      <c r="P139" s="22">
        <v>-2.974</v>
      </c>
      <c r="Q139" s="22">
        <v>-1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399354</v>
      </c>
      <c r="B140" s="21" t="s">
        <v>497</v>
      </c>
      <c r="C140" s="21">
        <v>8142.143</v>
      </c>
      <c r="D140" s="21">
        <v>8701.162</v>
      </c>
      <c r="E140" s="21">
        <v>0</v>
      </c>
      <c r="F140" s="21">
        <v>0</v>
      </c>
      <c r="G140" s="21">
        <v>1</v>
      </c>
      <c r="H140" s="18">
        <v>0</v>
      </c>
      <c r="I140" s="18">
        <v>0</v>
      </c>
      <c r="J140" s="18">
        <v>0</v>
      </c>
      <c r="K140" s="22">
        <v>1</v>
      </c>
      <c r="L140" s="22">
        <v>0</v>
      </c>
      <c r="M140" s="22">
        <v>0</v>
      </c>
      <c r="N140" s="22">
        <v>0</v>
      </c>
      <c r="O140" s="22">
        <v>0</v>
      </c>
      <c r="P140" s="22">
        <v>-0.924</v>
      </c>
      <c r="Q140" s="22">
        <v>0</v>
      </c>
      <c r="R140" s="22">
        <v>-1</v>
      </c>
      <c r="S140" s="23"/>
      <c r="T140" s="23"/>
      <c r="U140" s="23"/>
      <c r="V140" s="23"/>
      <c r="W140" s="23"/>
    </row>
    <row r="141" ht="16.5" spans="1:23">
      <c r="A141" s="21">
        <v>399355</v>
      </c>
      <c r="B141" s="21" t="s">
        <v>237</v>
      </c>
      <c r="C141" s="21">
        <v>3506.989</v>
      </c>
      <c r="D141" s="21">
        <v>3915.373</v>
      </c>
      <c r="E141" s="21">
        <v>0</v>
      </c>
      <c r="F141" s="21">
        <v>0</v>
      </c>
      <c r="G141" s="21">
        <v>1</v>
      </c>
      <c r="H141" s="18">
        <v>0</v>
      </c>
      <c r="I141" s="18">
        <v>0</v>
      </c>
      <c r="J141" s="18">
        <v>0</v>
      </c>
      <c r="K141" s="22">
        <v>2</v>
      </c>
      <c r="L141" s="22">
        <v>0</v>
      </c>
      <c r="M141" s="22">
        <v>0</v>
      </c>
      <c r="N141" s="22">
        <v>0</v>
      </c>
      <c r="O141" s="22">
        <v>0</v>
      </c>
      <c r="P141" s="22">
        <v>2.603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399356</v>
      </c>
      <c r="B142" s="21" t="s">
        <v>498</v>
      </c>
      <c r="C142" s="21">
        <v>9657.47</v>
      </c>
      <c r="D142" s="21">
        <v>10805.438</v>
      </c>
      <c r="E142" s="21">
        <v>0</v>
      </c>
      <c r="F142" s="21">
        <v>0</v>
      </c>
      <c r="G142" s="21">
        <v>1</v>
      </c>
      <c r="H142" s="18">
        <v>0</v>
      </c>
      <c r="I142" s="18">
        <v>0</v>
      </c>
      <c r="J142" s="18">
        <v>0</v>
      </c>
      <c r="K142" s="22">
        <v>1</v>
      </c>
      <c r="L142" s="22">
        <v>0</v>
      </c>
      <c r="M142" s="22">
        <v>0</v>
      </c>
      <c r="N142" s="22">
        <v>-1</v>
      </c>
      <c r="O142" s="22">
        <v>0</v>
      </c>
      <c r="P142" s="22">
        <v>-0.413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399361</v>
      </c>
      <c r="B143" s="21" t="s">
        <v>234</v>
      </c>
      <c r="C143" s="21">
        <v>3607.026</v>
      </c>
      <c r="D143" s="21">
        <v>4870.599</v>
      </c>
      <c r="E143" s="21">
        <v>0</v>
      </c>
      <c r="F143" s="21">
        <v>0</v>
      </c>
      <c r="G143" s="21">
        <v>1</v>
      </c>
      <c r="H143" s="18">
        <v>0</v>
      </c>
      <c r="I143" s="18">
        <v>0</v>
      </c>
      <c r="J143" s="18">
        <v>0</v>
      </c>
      <c r="K143" s="22">
        <v>1</v>
      </c>
      <c r="L143" s="22">
        <v>0</v>
      </c>
      <c r="M143" s="22">
        <v>0</v>
      </c>
      <c r="N143" s="22">
        <v>0</v>
      </c>
      <c r="O143" s="22">
        <v>0</v>
      </c>
      <c r="P143" s="22">
        <v>-0.181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399367</v>
      </c>
      <c r="B144" s="21" t="s">
        <v>499</v>
      </c>
      <c r="C144" s="21">
        <v>2420.948</v>
      </c>
      <c r="D144" s="21">
        <v>2826.033</v>
      </c>
      <c r="E144" s="21">
        <v>0</v>
      </c>
      <c r="F144" s="21">
        <v>0</v>
      </c>
      <c r="G144" s="21">
        <v>1</v>
      </c>
      <c r="H144" s="18">
        <v>0</v>
      </c>
      <c r="I144" s="18">
        <v>0</v>
      </c>
      <c r="J144" s="18">
        <v>0</v>
      </c>
      <c r="K144" s="22">
        <v>0</v>
      </c>
      <c r="L144" s="22">
        <v>0</v>
      </c>
      <c r="M144" s="22">
        <v>0</v>
      </c>
      <c r="N144" s="22">
        <v>-1</v>
      </c>
      <c r="O144" s="22">
        <v>0</v>
      </c>
      <c r="P144" s="22">
        <v>0.88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399369</v>
      </c>
      <c r="B145" s="21" t="s">
        <v>500</v>
      </c>
      <c r="C145" s="21">
        <v>1492.938</v>
      </c>
      <c r="D145" s="21">
        <v>1581.402</v>
      </c>
      <c r="E145" s="21">
        <v>0</v>
      </c>
      <c r="F145" s="21">
        <v>0</v>
      </c>
      <c r="G145" s="21">
        <v>1</v>
      </c>
      <c r="H145" s="18">
        <v>0</v>
      </c>
      <c r="I145" s="18">
        <v>0</v>
      </c>
      <c r="J145" s="18">
        <v>0</v>
      </c>
      <c r="K145" s="22">
        <v>2</v>
      </c>
      <c r="L145" s="22">
        <v>0</v>
      </c>
      <c r="M145" s="22">
        <v>0</v>
      </c>
      <c r="N145" s="22">
        <v>0</v>
      </c>
      <c r="O145" s="22">
        <v>0</v>
      </c>
      <c r="P145" s="22">
        <v>0.052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399373</v>
      </c>
      <c r="B146" s="21" t="s">
        <v>231</v>
      </c>
      <c r="C146" s="21">
        <v>8198.164</v>
      </c>
      <c r="D146" s="21">
        <v>8781.649</v>
      </c>
      <c r="E146" s="21">
        <v>0</v>
      </c>
      <c r="F146" s="21">
        <v>0</v>
      </c>
      <c r="G146" s="21">
        <v>1</v>
      </c>
      <c r="H146" s="18">
        <v>0</v>
      </c>
      <c r="I146" s="18">
        <v>0</v>
      </c>
      <c r="J146" s="18">
        <v>0</v>
      </c>
      <c r="K146" s="22">
        <v>1</v>
      </c>
      <c r="L146" s="22">
        <v>0</v>
      </c>
      <c r="M146" s="22">
        <v>0</v>
      </c>
      <c r="N146" s="22">
        <v>0</v>
      </c>
      <c r="O146" s="22">
        <v>0</v>
      </c>
      <c r="P146" s="22">
        <v>-3.684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399379</v>
      </c>
      <c r="B147" s="21" t="s">
        <v>501</v>
      </c>
      <c r="C147" s="21">
        <v>8875.89</v>
      </c>
      <c r="D147" s="21">
        <v>9800.879</v>
      </c>
      <c r="E147" s="21">
        <v>0</v>
      </c>
      <c r="F147" s="21">
        <v>0</v>
      </c>
      <c r="G147" s="21">
        <v>1</v>
      </c>
      <c r="H147" s="18">
        <v>0</v>
      </c>
      <c r="I147" s="18">
        <v>0</v>
      </c>
      <c r="J147" s="18">
        <v>0</v>
      </c>
      <c r="K147" s="22">
        <v>1</v>
      </c>
      <c r="L147" s="22">
        <v>0</v>
      </c>
      <c r="M147" s="22">
        <v>0</v>
      </c>
      <c r="N147" s="22">
        <v>0</v>
      </c>
      <c r="O147" s="22">
        <v>0</v>
      </c>
      <c r="P147" s="22">
        <v>-3.772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399380</v>
      </c>
      <c r="B148" s="21" t="s">
        <v>502</v>
      </c>
      <c r="C148" s="21">
        <v>1756.095</v>
      </c>
      <c r="D148" s="21">
        <v>1941.99</v>
      </c>
      <c r="E148" s="21">
        <v>0</v>
      </c>
      <c r="F148" s="21">
        <v>0</v>
      </c>
      <c r="G148" s="21">
        <v>1</v>
      </c>
      <c r="H148" s="18">
        <v>0</v>
      </c>
      <c r="I148" s="18">
        <v>0</v>
      </c>
      <c r="J148" s="18">
        <v>0</v>
      </c>
      <c r="K148" s="22">
        <v>2</v>
      </c>
      <c r="L148" s="22">
        <v>0</v>
      </c>
      <c r="M148" s="22">
        <v>0</v>
      </c>
      <c r="N148" s="22">
        <v>0</v>
      </c>
      <c r="O148" s="22">
        <v>0</v>
      </c>
      <c r="P148" s="22">
        <v>0.587</v>
      </c>
      <c r="Q148" s="22">
        <v>0</v>
      </c>
      <c r="R148" s="22">
        <v>-1</v>
      </c>
      <c r="S148" s="23"/>
      <c r="T148" s="23"/>
      <c r="U148" s="23"/>
      <c r="V148" s="23"/>
      <c r="W148" s="23"/>
    </row>
    <row r="149" ht="16.5" spans="1:23">
      <c r="A149" s="21">
        <v>399384</v>
      </c>
      <c r="B149" s="21" t="s">
        <v>503</v>
      </c>
      <c r="C149" s="21">
        <v>3948.634</v>
      </c>
      <c r="D149" s="21">
        <v>4427.922</v>
      </c>
      <c r="E149" s="21">
        <v>0</v>
      </c>
      <c r="F149" s="21">
        <v>0</v>
      </c>
      <c r="G149" s="21">
        <v>1</v>
      </c>
      <c r="H149" s="18">
        <v>0</v>
      </c>
      <c r="I149" s="18">
        <v>0</v>
      </c>
      <c r="J149" s="18">
        <v>0</v>
      </c>
      <c r="K149" s="22">
        <v>2</v>
      </c>
      <c r="L149" s="22">
        <v>0</v>
      </c>
      <c r="M149" s="22">
        <v>0</v>
      </c>
      <c r="N149" s="22">
        <v>0</v>
      </c>
      <c r="O149" s="22">
        <v>0</v>
      </c>
      <c r="P149" s="22">
        <v>0.567</v>
      </c>
      <c r="Q149" s="22">
        <v>0</v>
      </c>
      <c r="R149" s="22">
        <v>-1</v>
      </c>
      <c r="S149" s="23"/>
      <c r="T149" s="23"/>
      <c r="U149" s="23"/>
      <c r="V149" s="23"/>
      <c r="W149" s="23"/>
    </row>
    <row r="150" ht="16.5" spans="1:23">
      <c r="A150" s="21">
        <v>399385</v>
      </c>
      <c r="B150" s="21" t="s">
        <v>504</v>
      </c>
      <c r="C150" s="21">
        <v>8896.485</v>
      </c>
      <c r="D150" s="21">
        <v>9820.081</v>
      </c>
      <c r="E150" s="21">
        <v>0</v>
      </c>
      <c r="F150" s="21">
        <v>0</v>
      </c>
      <c r="G150" s="21">
        <v>1</v>
      </c>
      <c r="H150" s="18">
        <v>0</v>
      </c>
      <c r="I150" s="18">
        <v>0</v>
      </c>
      <c r="J150" s="18">
        <v>0</v>
      </c>
      <c r="K150" s="22">
        <v>1</v>
      </c>
      <c r="L150" s="22">
        <v>0</v>
      </c>
      <c r="M150" s="22">
        <v>0</v>
      </c>
      <c r="N150" s="22">
        <v>-1</v>
      </c>
      <c r="O150" s="22">
        <v>0</v>
      </c>
      <c r="P150" s="22">
        <v>1.728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399387</v>
      </c>
      <c r="B151" s="21" t="s">
        <v>505</v>
      </c>
      <c r="C151" s="21">
        <v>5268.027</v>
      </c>
      <c r="D151" s="21">
        <v>5856.9</v>
      </c>
      <c r="E151" s="21">
        <v>0</v>
      </c>
      <c r="F151" s="21">
        <v>0</v>
      </c>
      <c r="G151" s="21">
        <v>1</v>
      </c>
      <c r="H151" s="18">
        <v>0</v>
      </c>
      <c r="I151" s="18">
        <v>0</v>
      </c>
      <c r="J151" s="18">
        <v>0</v>
      </c>
      <c r="K151" s="22">
        <v>2</v>
      </c>
      <c r="L151" s="22">
        <v>1</v>
      </c>
      <c r="M151" s="22">
        <v>-1</v>
      </c>
      <c r="N151" s="22">
        <v>1</v>
      </c>
      <c r="O151" s="22">
        <v>0</v>
      </c>
      <c r="P151" s="22">
        <v>-1.152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399392</v>
      </c>
      <c r="B152" s="21" t="s">
        <v>506</v>
      </c>
      <c r="C152" s="21">
        <v>2849.311</v>
      </c>
      <c r="D152" s="21">
        <v>3217.144</v>
      </c>
      <c r="E152" s="21">
        <v>0</v>
      </c>
      <c r="F152" s="21">
        <v>0</v>
      </c>
      <c r="G152" s="21">
        <v>1</v>
      </c>
      <c r="H152" s="18">
        <v>0</v>
      </c>
      <c r="I152" s="18">
        <v>0</v>
      </c>
      <c r="J152" s="18">
        <v>0</v>
      </c>
      <c r="K152" s="22">
        <v>1</v>
      </c>
      <c r="L152" s="22">
        <v>0</v>
      </c>
      <c r="M152" s="22">
        <v>0</v>
      </c>
      <c r="N152" s="22">
        <v>0</v>
      </c>
      <c r="O152" s="22">
        <v>0</v>
      </c>
      <c r="P152" s="22">
        <v>3.091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399393</v>
      </c>
      <c r="B153" s="21" t="s">
        <v>507</v>
      </c>
      <c r="C153" s="21">
        <v>2979.091</v>
      </c>
      <c r="D153" s="21">
        <v>3450.97</v>
      </c>
      <c r="E153" s="21">
        <v>0</v>
      </c>
      <c r="F153" s="21">
        <v>0</v>
      </c>
      <c r="G153" s="21">
        <v>1</v>
      </c>
      <c r="H153" s="18">
        <v>0</v>
      </c>
      <c r="I153" s="18">
        <v>0</v>
      </c>
      <c r="J153" s="18">
        <v>0</v>
      </c>
      <c r="K153" s="22">
        <v>2</v>
      </c>
      <c r="L153" s="22">
        <v>0</v>
      </c>
      <c r="M153" s="22">
        <v>0</v>
      </c>
      <c r="N153" s="22">
        <v>0</v>
      </c>
      <c r="O153" s="22">
        <v>0</v>
      </c>
      <c r="P153" s="22">
        <v>-0.465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399396</v>
      </c>
      <c r="B154" s="21" t="s">
        <v>508</v>
      </c>
      <c r="C154" s="21">
        <v>16648.313</v>
      </c>
      <c r="D154" s="21">
        <v>18644.191</v>
      </c>
      <c r="E154" s="21">
        <v>0</v>
      </c>
      <c r="F154" s="21">
        <v>0</v>
      </c>
      <c r="G154" s="21">
        <v>1</v>
      </c>
      <c r="H154" s="18">
        <v>0</v>
      </c>
      <c r="I154" s="18">
        <v>0</v>
      </c>
      <c r="J154" s="18">
        <v>0</v>
      </c>
      <c r="K154" s="22">
        <v>1</v>
      </c>
      <c r="L154" s="22">
        <v>0</v>
      </c>
      <c r="M154" s="22">
        <v>0</v>
      </c>
      <c r="N154" s="22">
        <v>-1</v>
      </c>
      <c r="O154" s="22">
        <v>0</v>
      </c>
      <c r="P154" s="22">
        <v>0.644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399399</v>
      </c>
      <c r="B155" s="21" t="s">
        <v>509</v>
      </c>
      <c r="C155" s="21">
        <v>7936.266</v>
      </c>
      <c r="D155" s="21">
        <v>8643.772</v>
      </c>
      <c r="E155" s="21">
        <v>0</v>
      </c>
      <c r="F155" s="21">
        <v>0</v>
      </c>
      <c r="G155" s="21">
        <v>1</v>
      </c>
      <c r="H155" s="18">
        <v>0</v>
      </c>
      <c r="I155" s="18">
        <v>0</v>
      </c>
      <c r="J155" s="18">
        <v>0</v>
      </c>
      <c r="K155" s="22">
        <v>2</v>
      </c>
      <c r="L155" s="22">
        <v>0</v>
      </c>
      <c r="M155" s="22">
        <v>0</v>
      </c>
      <c r="N155" s="22">
        <v>0</v>
      </c>
      <c r="O155" s="22">
        <v>0</v>
      </c>
      <c r="P155" s="22">
        <v>0.256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399405</v>
      </c>
      <c r="B156" s="21" t="s">
        <v>510</v>
      </c>
      <c r="C156" s="21">
        <v>2929.626</v>
      </c>
      <c r="D156" s="21">
        <v>3458.116</v>
      </c>
      <c r="E156" s="21">
        <v>0</v>
      </c>
      <c r="F156" s="21">
        <v>0</v>
      </c>
      <c r="G156" s="21">
        <v>1</v>
      </c>
      <c r="H156" s="18">
        <v>0</v>
      </c>
      <c r="I156" s="18">
        <v>0</v>
      </c>
      <c r="J156" s="18">
        <v>0</v>
      </c>
      <c r="K156" s="22">
        <v>4</v>
      </c>
      <c r="L156" s="22">
        <v>0</v>
      </c>
      <c r="M156" s="22">
        <v>0</v>
      </c>
      <c r="N156" s="22">
        <v>0</v>
      </c>
      <c r="O156" s="22">
        <v>0</v>
      </c>
      <c r="P156" s="22">
        <v>-2.289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399418</v>
      </c>
      <c r="B157" s="21" t="s">
        <v>23</v>
      </c>
      <c r="C157" s="21">
        <v>3901.28</v>
      </c>
      <c r="D157" s="21">
        <v>4947.476</v>
      </c>
      <c r="E157" s="21">
        <v>0</v>
      </c>
      <c r="F157" s="21">
        <v>0</v>
      </c>
      <c r="G157" s="21">
        <v>1</v>
      </c>
      <c r="H157" s="18">
        <v>0</v>
      </c>
      <c r="I157" s="18">
        <v>0</v>
      </c>
      <c r="J157" s="18">
        <v>0</v>
      </c>
      <c r="K157" s="22">
        <v>1</v>
      </c>
      <c r="L157" s="22">
        <v>0</v>
      </c>
      <c r="M157" s="22">
        <v>1</v>
      </c>
      <c r="N157" s="22">
        <v>-1</v>
      </c>
      <c r="O157" s="22">
        <v>0</v>
      </c>
      <c r="P157" s="22">
        <v>-1.796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399419</v>
      </c>
      <c r="B158" s="21" t="s">
        <v>511</v>
      </c>
      <c r="C158" s="21">
        <v>2019.868</v>
      </c>
      <c r="D158" s="21">
        <v>2312.713</v>
      </c>
      <c r="E158" s="21">
        <v>0</v>
      </c>
      <c r="F158" s="21">
        <v>0</v>
      </c>
      <c r="G158" s="21">
        <v>1</v>
      </c>
      <c r="H158" s="18">
        <v>0</v>
      </c>
      <c r="I158" s="18">
        <v>0</v>
      </c>
      <c r="J158" s="18">
        <v>0</v>
      </c>
      <c r="K158" s="22">
        <v>2</v>
      </c>
      <c r="L158" s="22">
        <v>0</v>
      </c>
      <c r="M158" s="22">
        <v>1</v>
      </c>
      <c r="N158" s="22">
        <v>-1</v>
      </c>
      <c r="O158" s="22">
        <v>0</v>
      </c>
      <c r="P158" s="22">
        <v>-0.623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399420</v>
      </c>
      <c r="B159" s="21" t="s">
        <v>512</v>
      </c>
      <c r="C159" s="21">
        <v>1427.036</v>
      </c>
      <c r="D159" s="21">
        <v>1695.937</v>
      </c>
      <c r="E159" s="21">
        <v>0</v>
      </c>
      <c r="F159" s="21">
        <v>0</v>
      </c>
      <c r="G159" s="21">
        <v>1</v>
      </c>
      <c r="H159" s="18">
        <v>0</v>
      </c>
      <c r="I159" s="18">
        <v>0</v>
      </c>
      <c r="J159" s="18">
        <v>0</v>
      </c>
      <c r="K159" s="22">
        <v>2</v>
      </c>
      <c r="L159" s="22">
        <v>0</v>
      </c>
      <c r="M159" s="22">
        <v>0</v>
      </c>
      <c r="N159" s="22">
        <v>0</v>
      </c>
      <c r="O159" s="22">
        <v>0</v>
      </c>
      <c r="P159" s="22">
        <v>1.872</v>
      </c>
      <c r="Q159" s="22">
        <v>0</v>
      </c>
      <c r="R159" s="22">
        <v>1</v>
      </c>
      <c r="S159" s="23"/>
      <c r="T159" s="23"/>
      <c r="U159" s="23"/>
      <c r="V159" s="23"/>
      <c r="W159" s="23"/>
    </row>
    <row r="160" ht="16.5" spans="1:23">
      <c r="A160" s="21">
        <v>399423</v>
      </c>
      <c r="B160" s="21" t="s">
        <v>513</v>
      </c>
      <c r="C160" s="21">
        <v>2811.181</v>
      </c>
      <c r="D160" s="21">
        <v>3479.325</v>
      </c>
      <c r="E160" s="21">
        <v>0</v>
      </c>
      <c r="F160" s="21">
        <v>0</v>
      </c>
      <c r="G160" s="21">
        <v>1</v>
      </c>
      <c r="H160" s="18">
        <v>0</v>
      </c>
      <c r="I160" s="18">
        <v>0</v>
      </c>
      <c r="J160" s="18">
        <v>0</v>
      </c>
      <c r="K160" s="22">
        <v>1</v>
      </c>
      <c r="L160" s="22">
        <v>0</v>
      </c>
      <c r="M160" s="22">
        <v>0</v>
      </c>
      <c r="N160" s="22">
        <v>0</v>
      </c>
      <c r="O160" s="22">
        <v>0</v>
      </c>
      <c r="P160" s="22">
        <v>-0.829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399437</v>
      </c>
      <c r="B161" s="21" t="s">
        <v>514</v>
      </c>
      <c r="C161" s="21">
        <v>6226.828</v>
      </c>
      <c r="D161" s="21">
        <v>7245.402</v>
      </c>
      <c r="E161" s="21">
        <v>0</v>
      </c>
      <c r="F161" s="21">
        <v>0</v>
      </c>
      <c r="G161" s="21">
        <v>1</v>
      </c>
      <c r="H161" s="18">
        <v>0</v>
      </c>
      <c r="I161" s="18">
        <v>0</v>
      </c>
      <c r="J161" s="18">
        <v>0</v>
      </c>
      <c r="K161" s="22">
        <v>1</v>
      </c>
      <c r="L161" s="22">
        <v>0</v>
      </c>
      <c r="M161" s="22">
        <v>0</v>
      </c>
      <c r="N161" s="22">
        <v>0</v>
      </c>
      <c r="O161" s="22">
        <v>0</v>
      </c>
      <c r="P161" s="22">
        <v>-1.294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399552</v>
      </c>
      <c r="B162" s="21" t="s">
        <v>515</v>
      </c>
      <c r="C162" s="21">
        <v>8052.444</v>
      </c>
      <c r="D162" s="21">
        <v>8513.933</v>
      </c>
      <c r="E162" s="21">
        <v>0</v>
      </c>
      <c r="F162" s="21">
        <v>0</v>
      </c>
      <c r="G162" s="21">
        <v>1</v>
      </c>
      <c r="H162" s="18">
        <v>0</v>
      </c>
      <c r="I162" s="18">
        <v>0</v>
      </c>
      <c r="J162" s="18">
        <v>0</v>
      </c>
      <c r="K162" s="22">
        <v>2</v>
      </c>
      <c r="L162" s="22">
        <v>0</v>
      </c>
      <c r="M162" s="22">
        <v>0</v>
      </c>
      <c r="N162" s="22">
        <v>0</v>
      </c>
      <c r="O162" s="22">
        <v>0</v>
      </c>
      <c r="P162" s="22">
        <v>-1.077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399555</v>
      </c>
      <c r="B163" s="21" t="s">
        <v>516</v>
      </c>
      <c r="C163" s="21">
        <v>5163.904</v>
      </c>
      <c r="D163" s="21">
        <v>5538.741</v>
      </c>
      <c r="E163" s="21">
        <v>0</v>
      </c>
      <c r="F163" s="21">
        <v>0</v>
      </c>
      <c r="G163" s="21">
        <v>1</v>
      </c>
      <c r="H163" s="18">
        <v>0</v>
      </c>
      <c r="I163" s="18">
        <v>0</v>
      </c>
      <c r="J163" s="18">
        <v>0</v>
      </c>
      <c r="K163" s="22">
        <v>2</v>
      </c>
      <c r="L163" s="22">
        <v>0</v>
      </c>
      <c r="M163" s="22">
        <v>0</v>
      </c>
      <c r="N163" s="22">
        <v>0</v>
      </c>
      <c r="O163" s="22">
        <v>0</v>
      </c>
      <c r="P163" s="22">
        <v>1.078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399556</v>
      </c>
      <c r="B164" s="21" t="s">
        <v>517</v>
      </c>
      <c r="C164" s="21">
        <v>2782.819</v>
      </c>
      <c r="D164" s="21">
        <v>3045.654</v>
      </c>
      <c r="E164" s="21">
        <v>0</v>
      </c>
      <c r="F164" s="21">
        <v>0</v>
      </c>
      <c r="G164" s="21">
        <v>1</v>
      </c>
      <c r="H164" s="18">
        <v>0</v>
      </c>
      <c r="I164" s="18">
        <v>0</v>
      </c>
      <c r="J164" s="18">
        <v>0</v>
      </c>
      <c r="K164" s="22">
        <v>2</v>
      </c>
      <c r="L164" s="22">
        <v>0</v>
      </c>
      <c r="M164" s="22">
        <v>0</v>
      </c>
      <c r="N164" s="22">
        <v>0</v>
      </c>
      <c r="O164" s="22">
        <v>0</v>
      </c>
      <c r="P164" s="22">
        <v>-2.214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399616</v>
      </c>
      <c r="B165" s="21" t="s">
        <v>518</v>
      </c>
      <c r="C165" s="21">
        <v>6322.053</v>
      </c>
      <c r="D165" s="21">
        <v>7417.658</v>
      </c>
      <c r="E165" s="21">
        <v>0</v>
      </c>
      <c r="F165" s="21">
        <v>0</v>
      </c>
      <c r="G165" s="21">
        <v>1</v>
      </c>
      <c r="H165" s="18">
        <v>0</v>
      </c>
      <c r="I165" s="18">
        <v>0</v>
      </c>
      <c r="J165" s="18">
        <v>0</v>
      </c>
      <c r="K165" s="22">
        <v>2</v>
      </c>
      <c r="L165" s="22">
        <v>0</v>
      </c>
      <c r="M165" s="22">
        <v>0</v>
      </c>
      <c r="N165" s="22">
        <v>0</v>
      </c>
      <c r="O165" s="22">
        <v>0</v>
      </c>
      <c r="P165" s="22">
        <v>19.012</v>
      </c>
      <c r="Q165" s="22">
        <v>0</v>
      </c>
      <c r="R165" s="22">
        <v>-1</v>
      </c>
      <c r="S165" s="23"/>
      <c r="T165" s="23"/>
      <c r="U165" s="23"/>
      <c r="V165" s="23"/>
      <c r="W165" s="23"/>
    </row>
    <row r="166" ht="16.5" spans="1:23">
      <c r="A166" s="21">
        <v>399617</v>
      </c>
      <c r="B166" s="21" t="s">
        <v>519</v>
      </c>
      <c r="C166" s="21">
        <v>8703.961</v>
      </c>
      <c r="D166" s="21">
        <v>9759.29</v>
      </c>
      <c r="E166" s="21">
        <v>0</v>
      </c>
      <c r="F166" s="21">
        <v>0</v>
      </c>
      <c r="G166" s="21">
        <v>1</v>
      </c>
      <c r="H166" s="18">
        <v>0</v>
      </c>
      <c r="I166" s="18">
        <v>0</v>
      </c>
      <c r="J166" s="18">
        <v>0</v>
      </c>
      <c r="K166" s="22">
        <v>1</v>
      </c>
      <c r="L166" s="22">
        <v>0</v>
      </c>
      <c r="M166" s="22">
        <v>0</v>
      </c>
      <c r="N166" s="22">
        <v>0</v>
      </c>
      <c r="O166" s="22">
        <v>0</v>
      </c>
      <c r="P166" s="22">
        <v>-4.049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399619</v>
      </c>
      <c r="B167" s="21" t="s">
        <v>520</v>
      </c>
      <c r="C167" s="21">
        <v>6855.67</v>
      </c>
      <c r="D167" s="21">
        <v>7544.401</v>
      </c>
      <c r="E167" s="21">
        <v>0</v>
      </c>
      <c r="F167" s="21">
        <v>0</v>
      </c>
      <c r="G167" s="21">
        <v>1</v>
      </c>
      <c r="H167" s="18">
        <v>0</v>
      </c>
      <c r="I167" s="18">
        <v>0</v>
      </c>
      <c r="J167" s="18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-18.231</v>
      </c>
      <c r="Q167" s="22">
        <v>0</v>
      </c>
      <c r="R167" s="22">
        <v>-1</v>
      </c>
      <c r="S167" s="23"/>
      <c r="T167" s="23"/>
      <c r="U167" s="23"/>
      <c r="V167" s="23"/>
      <c r="W167" s="23"/>
    </row>
    <row r="168" ht="16.5" spans="1:23">
      <c r="A168" s="21">
        <v>399637</v>
      </c>
      <c r="B168" s="21" t="s">
        <v>521</v>
      </c>
      <c r="C168" s="21">
        <v>1669.046</v>
      </c>
      <c r="D168" s="21">
        <v>1984.979</v>
      </c>
      <c r="E168" s="21">
        <v>0</v>
      </c>
      <c r="F168" s="21">
        <v>0</v>
      </c>
      <c r="G168" s="21">
        <v>1</v>
      </c>
      <c r="H168" s="18">
        <v>0</v>
      </c>
      <c r="I168" s="18">
        <v>0</v>
      </c>
      <c r="J168" s="18">
        <v>0</v>
      </c>
      <c r="K168" s="22">
        <v>2</v>
      </c>
      <c r="L168" s="22">
        <v>1</v>
      </c>
      <c r="M168" s="22">
        <v>0</v>
      </c>
      <c r="N168" s="22">
        <v>0</v>
      </c>
      <c r="O168" s="22">
        <v>0</v>
      </c>
      <c r="P168" s="22">
        <v>-10.098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399645</v>
      </c>
      <c r="B169" s="21" t="s">
        <v>522</v>
      </c>
      <c r="C169" s="21">
        <v>9209.281</v>
      </c>
      <c r="D169" s="21">
        <v>9835.913</v>
      </c>
      <c r="E169" s="21">
        <v>0</v>
      </c>
      <c r="F169" s="21">
        <v>0</v>
      </c>
      <c r="G169" s="21">
        <v>1</v>
      </c>
      <c r="H169" s="18">
        <v>0</v>
      </c>
      <c r="I169" s="18">
        <v>0</v>
      </c>
      <c r="J169" s="18">
        <v>0</v>
      </c>
      <c r="K169" s="22">
        <v>2</v>
      </c>
      <c r="L169" s="22">
        <v>0</v>
      </c>
      <c r="M169" s="22">
        <v>0</v>
      </c>
      <c r="N169" s="22">
        <v>0</v>
      </c>
      <c r="O169" s="22">
        <v>0</v>
      </c>
      <c r="P169" s="22">
        <v>15.925</v>
      </c>
      <c r="Q169" s="22">
        <v>0</v>
      </c>
      <c r="R169" s="22">
        <v>-1</v>
      </c>
      <c r="S169" s="23"/>
      <c r="T169" s="23"/>
      <c r="U169" s="23"/>
      <c r="V169" s="23"/>
      <c r="W169" s="23"/>
    </row>
    <row r="170" ht="16.5" spans="1:23">
      <c r="A170" s="21">
        <v>399646</v>
      </c>
      <c r="B170" s="21" t="s">
        <v>523</v>
      </c>
      <c r="C170" s="21">
        <v>7709.914</v>
      </c>
      <c r="D170" s="21">
        <v>8522.191</v>
      </c>
      <c r="E170" s="21">
        <v>0</v>
      </c>
      <c r="F170" s="21">
        <v>0</v>
      </c>
      <c r="G170" s="21">
        <v>1</v>
      </c>
      <c r="H170" s="18">
        <v>0</v>
      </c>
      <c r="I170" s="18">
        <v>0</v>
      </c>
      <c r="J170" s="18">
        <v>0</v>
      </c>
      <c r="K170" s="22">
        <v>1</v>
      </c>
      <c r="L170" s="22">
        <v>0</v>
      </c>
      <c r="M170" s="22">
        <v>1</v>
      </c>
      <c r="N170" s="22">
        <v>-1</v>
      </c>
      <c r="O170" s="22">
        <v>0</v>
      </c>
      <c r="P170" s="22">
        <v>-17.543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399651</v>
      </c>
      <c r="B171" s="21" t="s">
        <v>524</v>
      </c>
      <c r="C171" s="21">
        <v>1655.466</v>
      </c>
      <c r="D171" s="21">
        <v>1854.49</v>
      </c>
      <c r="E171" s="21">
        <v>0</v>
      </c>
      <c r="F171" s="21">
        <v>0</v>
      </c>
      <c r="G171" s="21">
        <v>1</v>
      </c>
      <c r="H171" s="18">
        <v>0</v>
      </c>
      <c r="I171" s="18">
        <v>0</v>
      </c>
      <c r="J171" s="18">
        <v>0</v>
      </c>
      <c r="K171" s="22">
        <v>2</v>
      </c>
      <c r="L171" s="22">
        <v>0</v>
      </c>
      <c r="M171" s="22">
        <v>0</v>
      </c>
      <c r="N171" s="22">
        <v>0</v>
      </c>
      <c r="O171" s="22">
        <v>0</v>
      </c>
      <c r="P171" s="22">
        <v>13.501</v>
      </c>
      <c r="Q171" s="22">
        <v>0</v>
      </c>
      <c r="R171" s="22">
        <v>-1</v>
      </c>
      <c r="S171" s="23"/>
      <c r="T171" s="23"/>
      <c r="U171" s="23"/>
      <c r="V171" s="23"/>
      <c r="W171" s="23"/>
    </row>
    <row r="172" ht="16.5" spans="1:23">
      <c r="A172" s="21">
        <v>399668</v>
      </c>
      <c r="B172" s="21" t="s">
        <v>525</v>
      </c>
      <c r="C172" s="21">
        <v>5008.439</v>
      </c>
      <c r="D172" s="21">
        <v>5551.088</v>
      </c>
      <c r="E172" s="21">
        <v>0</v>
      </c>
      <c r="F172" s="21">
        <v>0</v>
      </c>
      <c r="G172" s="21">
        <v>1</v>
      </c>
      <c r="H172" s="18">
        <v>0</v>
      </c>
      <c r="I172" s="18">
        <v>0</v>
      </c>
      <c r="J172" s="18">
        <v>0</v>
      </c>
      <c r="K172" s="22">
        <v>4</v>
      </c>
      <c r="L172" s="22">
        <v>1</v>
      </c>
      <c r="M172" s="22">
        <v>-1</v>
      </c>
      <c r="N172" s="22">
        <v>1</v>
      </c>
      <c r="O172" s="22">
        <v>0</v>
      </c>
      <c r="P172" s="22">
        <v>-9.304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399675</v>
      </c>
      <c r="B173" s="21" t="s">
        <v>526</v>
      </c>
      <c r="C173" s="21">
        <v>3220.829</v>
      </c>
      <c r="D173" s="21">
        <v>4294.888</v>
      </c>
      <c r="E173" s="21">
        <v>0</v>
      </c>
      <c r="F173" s="21">
        <v>0</v>
      </c>
      <c r="G173" s="21">
        <v>1</v>
      </c>
      <c r="H173" s="18">
        <v>0</v>
      </c>
      <c r="I173" s="18">
        <v>0</v>
      </c>
      <c r="J173" s="18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-1</v>
      </c>
      <c r="P173" s="22">
        <v>-19.132</v>
      </c>
      <c r="Q173" s="22">
        <v>0</v>
      </c>
      <c r="R173" s="22">
        <v>-1</v>
      </c>
      <c r="S173" s="23"/>
      <c r="T173" s="23"/>
      <c r="U173" s="23"/>
      <c r="V173" s="23"/>
      <c r="W173" s="23"/>
    </row>
    <row r="174" ht="16.5" spans="1:23">
      <c r="A174" s="21">
        <v>399683</v>
      </c>
      <c r="B174" s="21" t="s">
        <v>527</v>
      </c>
      <c r="C174" s="21">
        <v>1848.484</v>
      </c>
      <c r="D174" s="21">
        <v>2103.101</v>
      </c>
      <c r="E174" s="21">
        <v>0</v>
      </c>
      <c r="F174" s="21">
        <v>0</v>
      </c>
      <c r="G174" s="21">
        <v>1</v>
      </c>
      <c r="H174" s="18">
        <v>0</v>
      </c>
      <c r="I174" s="18">
        <v>0</v>
      </c>
      <c r="J174" s="18">
        <v>0</v>
      </c>
      <c r="K174" s="22">
        <v>2</v>
      </c>
      <c r="L174" s="22">
        <v>0</v>
      </c>
      <c r="M174" s="22">
        <v>0</v>
      </c>
      <c r="N174" s="22">
        <v>0</v>
      </c>
      <c r="O174" s="22">
        <v>0</v>
      </c>
      <c r="P174" s="22">
        <v>16.79</v>
      </c>
      <c r="Q174" s="22">
        <v>0</v>
      </c>
      <c r="R174" s="22">
        <v>-1</v>
      </c>
      <c r="S174" s="23"/>
      <c r="T174" s="23"/>
      <c r="U174" s="23"/>
      <c r="V174" s="23"/>
      <c r="W174" s="23"/>
    </row>
    <row r="175" ht="16.5" spans="1:23">
      <c r="A175" s="21">
        <v>399684</v>
      </c>
      <c r="B175" s="21" t="s">
        <v>528</v>
      </c>
      <c r="C175" s="21">
        <v>1699.018</v>
      </c>
      <c r="D175" s="21">
        <v>1900.345</v>
      </c>
      <c r="E175" s="21">
        <v>0</v>
      </c>
      <c r="F175" s="21">
        <v>0</v>
      </c>
      <c r="G175" s="21">
        <v>1</v>
      </c>
      <c r="H175" s="18">
        <v>0</v>
      </c>
      <c r="I175" s="18">
        <v>0</v>
      </c>
      <c r="J175" s="18">
        <v>0</v>
      </c>
      <c r="K175" s="22">
        <v>3</v>
      </c>
      <c r="L175" s="22">
        <v>0</v>
      </c>
      <c r="M175" s="22">
        <v>0</v>
      </c>
      <c r="N175" s="22">
        <v>-1</v>
      </c>
      <c r="O175" s="22">
        <v>0</v>
      </c>
      <c r="P175" s="22">
        <v>10.726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399686</v>
      </c>
      <c r="B176" s="21" t="s">
        <v>529</v>
      </c>
      <c r="C176" s="21">
        <v>2045.336</v>
      </c>
      <c r="D176" s="21">
        <v>2286.629</v>
      </c>
      <c r="E176" s="21">
        <v>0</v>
      </c>
      <c r="F176" s="21">
        <v>0</v>
      </c>
      <c r="G176" s="21">
        <v>1</v>
      </c>
      <c r="H176" s="18">
        <v>0</v>
      </c>
      <c r="I176" s="18">
        <v>0</v>
      </c>
      <c r="J176" s="18">
        <v>0</v>
      </c>
      <c r="K176" s="22">
        <v>3</v>
      </c>
      <c r="L176" s="22">
        <v>0</v>
      </c>
      <c r="M176" s="22">
        <v>0</v>
      </c>
      <c r="N176" s="22">
        <v>0</v>
      </c>
      <c r="O176" s="22">
        <v>0</v>
      </c>
      <c r="P176" s="22">
        <v>-5.82</v>
      </c>
      <c r="Q176" s="22">
        <v>0</v>
      </c>
      <c r="R176" s="22">
        <v>-1</v>
      </c>
      <c r="S176" s="23"/>
      <c r="T176" s="23"/>
      <c r="U176" s="23"/>
      <c r="V176" s="23"/>
      <c r="W176" s="23"/>
    </row>
    <row r="177" ht="16.5" spans="1:23">
      <c r="A177" s="21">
        <v>399693</v>
      </c>
      <c r="B177" s="21" t="s">
        <v>530</v>
      </c>
      <c r="C177" s="21">
        <v>4700.801</v>
      </c>
      <c r="D177" s="21">
        <v>6236.266</v>
      </c>
      <c r="E177" s="21">
        <v>0</v>
      </c>
      <c r="F177" s="21">
        <v>0</v>
      </c>
      <c r="G177" s="21">
        <v>1</v>
      </c>
      <c r="H177" s="18">
        <v>0</v>
      </c>
      <c r="I177" s="18">
        <v>0</v>
      </c>
      <c r="J177" s="18">
        <v>0</v>
      </c>
      <c r="K177" s="22">
        <v>2</v>
      </c>
      <c r="L177" s="22">
        <v>0</v>
      </c>
      <c r="M177" s="22">
        <v>0</v>
      </c>
      <c r="N177" s="22">
        <v>0</v>
      </c>
      <c r="O177" s="22">
        <v>0</v>
      </c>
      <c r="P177" s="22">
        <v>15.783</v>
      </c>
      <c r="Q177" s="22">
        <v>0</v>
      </c>
      <c r="R177" s="22">
        <v>-1</v>
      </c>
      <c r="S177" s="23"/>
      <c r="T177" s="23"/>
      <c r="U177" s="23"/>
      <c r="V177" s="23"/>
      <c r="W177" s="23"/>
    </row>
    <row r="178" ht="16.5" spans="1:23">
      <c r="A178" s="21">
        <v>399699</v>
      </c>
      <c r="B178" s="21" t="s">
        <v>531</v>
      </c>
      <c r="C178" s="21">
        <v>4052.677</v>
      </c>
      <c r="D178" s="21">
        <v>5124.043</v>
      </c>
      <c r="E178" s="21">
        <v>0</v>
      </c>
      <c r="F178" s="21">
        <v>0</v>
      </c>
      <c r="G178" s="21">
        <v>1</v>
      </c>
      <c r="H178" s="18">
        <v>0</v>
      </c>
      <c r="I178" s="18">
        <v>0</v>
      </c>
      <c r="J178" s="18">
        <v>0</v>
      </c>
      <c r="K178" s="22">
        <v>3</v>
      </c>
      <c r="L178" s="22">
        <v>0</v>
      </c>
      <c r="M178" s="22">
        <v>0</v>
      </c>
      <c r="N178" s="22">
        <v>0</v>
      </c>
      <c r="O178" s="22">
        <v>0</v>
      </c>
      <c r="P178" s="22">
        <v>-1.21</v>
      </c>
      <c r="Q178" s="22">
        <v>0</v>
      </c>
      <c r="R178" s="22">
        <v>-1</v>
      </c>
      <c r="S178" s="23"/>
      <c r="T178" s="23"/>
      <c r="U178" s="23"/>
      <c r="V178" s="23"/>
      <c r="W178" s="23"/>
    </row>
    <row r="179" ht="16.5" spans="1:23">
      <c r="A179" s="21">
        <v>399701</v>
      </c>
      <c r="B179" s="21" t="s">
        <v>532</v>
      </c>
      <c r="C179" s="21">
        <v>7755.568</v>
      </c>
      <c r="D179" s="21">
        <v>8320.779</v>
      </c>
      <c r="E179" s="21">
        <v>0</v>
      </c>
      <c r="F179" s="21">
        <v>0</v>
      </c>
      <c r="G179" s="21">
        <v>1</v>
      </c>
      <c r="H179" s="18">
        <v>0</v>
      </c>
      <c r="I179" s="18">
        <v>0</v>
      </c>
      <c r="J179" s="18">
        <v>0</v>
      </c>
      <c r="K179" s="22">
        <v>3</v>
      </c>
      <c r="L179" s="22">
        <v>0</v>
      </c>
      <c r="M179" s="22">
        <v>0</v>
      </c>
      <c r="N179" s="22">
        <v>0</v>
      </c>
      <c r="O179" s="22">
        <v>0</v>
      </c>
      <c r="P179" s="22">
        <v>-0.994</v>
      </c>
      <c r="Q179" s="22">
        <v>0</v>
      </c>
      <c r="R179" s="22">
        <v>-1</v>
      </c>
      <c r="S179" s="23"/>
      <c r="T179" s="23"/>
      <c r="U179" s="23"/>
      <c r="V179" s="23"/>
      <c r="W179" s="23"/>
    </row>
    <row r="180" ht="16.5" spans="1:23">
      <c r="A180" s="21">
        <v>399706</v>
      </c>
      <c r="B180" s="21" t="s">
        <v>533</v>
      </c>
      <c r="C180" s="21">
        <v>5463.225</v>
      </c>
      <c r="D180" s="21">
        <v>6213.488</v>
      </c>
      <c r="E180" s="21">
        <v>0</v>
      </c>
      <c r="F180" s="21">
        <v>0</v>
      </c>
      <c r="G180" s="21">
        <v>1</v>
      </c>
      <c r="H180" s="18">
        <v>0</v>
      </c>
      <c r="I180" s="18">
        <v>0</v>
      </c>
      <c r="J180" s="18">
        <v>0</v>
      </c>
      <c r="K180" s="22">
        <v>1</v>
      </c>
      <c r="L180" s="22">
        <v>0</v>
      </c>
      <c r="M180" s="22">
        <v>1</v>
      </c>
      <c r="N180" s="22">
        <v>-1</v>
      </c>
      <c r="O180" s="22">
        <v>0</v>
      </c>
      <c r="P180" s="22">
        <v>-4.921</v>
      </c>
      <c r="Q180" s="22">
        <v>-1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399707</v>
      </c>
      <c r="B181" s="21" t="s">
        <v>534</v>
      </c>
      <c r="C181" s="21">
        <v>6033.71</v>
      </c>
      <c r="D181" s="21">
        <v>6950.174</v>
      </c>
      <c r="E181" s="21">
        <v>0</v>
      </c>
      <c r="F181" s="21">
        <v>0</v>
      </c>
      <c r="G181" s="21">
        <v>1</v>
      </c>
      <c r="H181" s="18">
        <v>0</v>
      </c>
      <c r="I181" s="18">
        <v>0</v>
      </c>
      <c r="J181" s="18">
        <v>0</v>
      </c>
      <c r="K181" s="22">
        <v>1</v>
      </c>
      <c r="L181" s="22">
        <v>0</v>
      </c>
      <c r="M181" s="22">
        <v>1</v>
      </c>
      <c r="N181" s="22">
        <v>-1</v>
      </c>
      <c r="O181" s="22">
        <v>0</v>
      </c>
      <c r="P181" s="22">
        <v>-1.766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399750</v>
      </c>
      <c r="B182" s="21" t="s">
        <v>535</v>
      </c>
      <c r="C182" s="21">
        <v>8671.311</v>
      </c>
      <c r="D182" s="21">
        <v>9292.63</v>
      </c>
      <c r="E182" s="21">
        <v>0</v>
      </c>
      <c r="F182" s="21">
        <v>0</v>
      </c>
      <c r="G182" s="21">
        <v>1</v>
      </c>
      <c r="H182" s="18">
        <v>0</v>
      </c>
      <c r="I182" s="18">
        <v>0</v>
      </c>
      <c r="J182" s="18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0.344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399805</v>
      </c>
      <c r="B183" s="21" t="s">
        <v>536</v>
      </c>
      <c r="C183" s="21">
        <v>3491.244</v>
      </c>
      <c r="D183" s="21">
        <v>4408.959</v>
      </c>
      <c r="E183" s="21">
        <v>0</v>
      </c>
      <c r="F183" s="21">
        <v>0</v>
      </c>
      <c r="G183" s="21">
        <v>1</v>
      </c>
      <c r="H183" s="18">
        <v>0</v>
      </c>
      <c r="I183" s="18">
        <v>0</v>
      </c>
      <c r="J183" s="18">
        <v>0</v>
      </c>
      <c r="K183" s="22">
        <v>3</v>
      </c>
      <c r="L183" s="22">
        <v>0</v>
      </c>
      <c r="M183" s="22">
        <v>-1</v>
      </c>
      <c r="N183" s="22">
        <v>1</v>
      </c>
      <c r="O183" s="22">
        <v>0</v>
      </c>
      <c r="P183" s="22">
        <v>-9.4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399807</v>
      </c>
      <c r="B184" s="21" t="s">
        <v>537</v>
      </c>
      <c r="C184" s="21">
        <v>1211.214</v>
      </c>
      <c r="D184" s="21">
        <v>1310.887</v>
      </c>
      <c r="E184" s="21">
        <v>0</v>
      </c>
      <c r="F184" s="21">
        <v>0</v>
      </c>
      <c r="G184" s="21">
        <v>1</v>
      </c>
      <c r="H184" s="18">
        <v>0</v>
      </c>
      <c r="I184" s="18">
        <v>0</v>
      </c>
      <c r="J184" s="18">
        <v>0</v>
      </c>
      <c r="K184" s="22">
        <v>1</v>
      </c>
      <c r="L184" s="22">
        <v>0</v>
      </c>
      <c r="M184" s="22">
        <v>0</v>
      </c>
      <c r="N184" s="22">
        <v>0</v>
      </c>
      <c r="O184" s="22">
        <v>0</v>
      </c>
      <c r="P184" s="22">
        <v>-0.683</v>
      </c>
      <c r="Q184" s="22">
        <v>0</v>
      </c>
      <c r="R184" s="22">
        <v>-1</v>
      </c>
      <c r="S184" s="23"/>
      <c r="T184" s="23"/>
      <c r="U184" s="23"/>
      <c r="V184" s="23"/>
      <c r="W184" s="23"/>
    </row>
    <row r="185" ht="16.5" spans="1:23">
      <c r="A185" s="21">
        <v>399809</v>
      </c>
      <c r="B185" s="21" t="s">
        <v>538</v>
      </c>
      <c r="C185" s="21">
        <v>2385.917</v>
      </c>
      <c r="D185" s="21">
        <v>2937.07</v>
      </c>
      <c r="E185" s="21">
        <v>0</v>
      </c>
      <c r="F185" s="21">
        <v>0</v>
      </c>
      <c r="G185" s="21">
        <v>1</v>
      </c>
      <c r="H185" s="18">
        <v>0</v>
      </c>
      <c r="I185" s="18">
        <v>0</v>
      </c>
      <c r="J185" s="18">
        <v>0</v>
      </c>
      <c r="K185" s="22">
        <v>1</v>
      </c>
      <c r="L185" s="22">
        <v>0</v>
      </c>
      <c r="M185" s="22">
        <v>0</v>
      </c>
      <c r="N185" s="22">
        <v>0</v>
      </c>
      <c r="O185" s="22">
        <v>0</v>
      </c>
      <c r="P185" s="22">
        <v>-0.304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399812</v>
      </c>
      <c r="B186" s="21" t="s">
        <v>539</v>
      </c>
      <c r="C186" s="21">
        <v>6097.589</v>
      </c>
      <c r="D186" s="21">
        <v>6753.36</v>
      </c>
      <c r="E186" s="21">
        <v>0</v>
      </c>
      <c r="F186" s="21">
        <v>0</v>
      </c>
      <c r="G186" s="21">
        <v>1</v>
      </c>
      <c r="H186" s="18">
        <v>0</v>
      </c>
      <c r="I186" s="18">
        <v>0</v>
      </c>
      <c r="J186" s="18">
        <v>0</v>
      </c>
      <c r="K186" s="22">
        <v>0</v>
      </c>
      <c r="L186" s="22">
        <v>2</v>
      </c>
      <c r="M186" s="22">
        <v>1</v>
      </c>
      <c r="N186" s="22">
        <v>-1</v>
      </c>
      <c r="O186" s="22">
        <v>0</v>
      </c>
      <c r="P186" s="22">
        <v>-5.57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399903</v>
      </c>
      <c r="B187" s="21" t="s">
        <v>340</v>
      </c>
      <c r="C187" s="21">
        <v>4317.143</v>
      </c>
      <c r="D187" s="21">
        <v>4719.756</v>
      </c>
      <c r="E187" s="21">
        <v>0</v>
      </c>
      <c r="F187" s="21">
        <v>0</v>
      </c>
      <c r="G187" s="21">
        <v>1</v>
      </c>
      <c r="H187" s="18">
        <v>0</v>
      </c>
      <c r="I187" s="18">
        <v>0</v>
      </c>
      <c r="J187" s="18">
        <v>0</v>
      </c>
      <c r="K187" s="22">
        <v>1</v>
      </c>
      <c r="L187" s="22">
        <v>0</v>
      </c>
      <c r="M187" s="22">
        <v>0</v>
      </c>
      <c r="N187" s="22">
        <v>0</v>
      </c>
      <c r="O187" s="22">
        <v>0</v>
      </c>
      <c r="P187" s="22">
        <v>16.297</v>
      </c>
      <c r="Q187" s="22">
        <v>0</v>
      </c>
      <c r="R187" s="22">
        <v>-1</v>
      </c>
      <c r="S187" s="23"/>
      <c r="T187" s="23"/>
      <c r="U187" s="23"/>
      <c r="V187" s="23"/>
      <c r="W187" s="23"/>
    </row>
    <row r="188" ht="16.5" spans="1:23">
      <c r="A188" s="21">
        <v>399914</v>
      </c>
      <c r="B188" s="21" t="s">
        <v>540</v>
      </c>
      <c r="C188" s="21">
        <v>6229.484</v>
      </c>
      <c r="D188" s="21">
        <v>6958.336</v>
      </c>
      <c r="E188" s="21">
        <v>0</v>
      </c>
      <c r="F188" s="21">
        <v>0</v>
      </c>
      <c r="G188" s="21">
        <v>1</v>
      </c>
      <c r="H188" s="18">
        <v>0</v>
      </c>
      <c r="I188" s="18">
        <v>0</v>
      </c>
      <c r="J188" s="18">
        <v>0</v>
      </c>
      <c r="K188" s="22">
        <v>2</v>
      </c>
      <c r="L188" s="22">
        <v>0</v>
      </c>
      <c r="M188" s="22">
        <v>0</v>
      </c>
      <c r="N188" s="22">
        <v>0</v>
      </c>
      <c r="O188" s="22">
        <v>0</v>
      </c>
      <c r="P188" s="22">
        <v>0.606</v>
      </c>
      <c r="Q188" s="22">
        <v>0</v>
      </c>
      <c r="R188" s="22">
        <v>-1</v>
      </c>
      <c r="S188" s="23"/>
      <c r="T188" s="23"/>
      <c r="U188" s="23"/>
      <c r="V188" s="23"/>
      <c r="W188" s="23"/>
    </row>
    <row r="189" ht="16.5" spans="1:23">
      <c r="A189" s="21">
        <v>399932</v>
      </c>
      <c r="B189" s="21" t="s">
        <v>462</v>
      </c>
      <c r="C189" s="21">
        <v>14518.037</v>
      </c>
      <c r="D189" s="21">
        <v>16055.015</v>
      </c>
      <c r="E189" s="21">
        <v>0</v>
      </c>
      <c r="F189" s="21">
        <v>0</v>
      </c>
      <c r="G189" s="21">
        <v>1</v>
      </c>
      <c r="H189" s="18">
        <v>0</v>
      </c>
      <c r="I189" s="18">
        <v>0</v>
      </c>
      <c r="J189" s="18">
        <v>0</v>
      </c>
      <c r="K189" s="22">
        <v>1</v>
      </c>
      <c r="L189" s="22">
        <v>0</v>
      </c>
      <c r="M189" s="22">
        <v>0</v>
      </c>
      <c r="N189" s="22">
        <v>0</v>
      </c>
      <c r="O189" s="22">
        <v>0</v>
      </c>
      <c r="P189" s="22">
        <v>-2.678</v>
      </c>
      <c r="Q189" s="22">
        <v>0</v>
      </c>
      <c r="R189" s="22">
        <v>-1</v>
      </c>
      <c r="S189" s="23"/>
      <c r="T189" s="23"/>
      <c r="U189" s="23"/>
      <c r="V189" s="23"/>
      <c r="W189" s="23"/>
    </row>
    <row r="190" ht="16.5" spans="1:23">
      <c r="A190" s="21">
        <v>399934</v>
      </c>
      <c r="B190" s="21" t="s">
        <v>463</v>
      </c>
      <c r="C190" s="21">
        <v>5849.536</v>
      </c>
      <c r="D190" s="21">
        <v>6496.093</v>
      </c>
      <c r="E190" s="21">
        <v>0</v>
      </c>
      <c r="F190" s="21">
        <v>0</v>
      </c>
      <c r="G190" s="21">
        <v>1</v>
      </c>
      <c r="H190" s="18">
        <v>0</v>
      </c>
      <c r="I190" s="18">
        <v>0</v>
      </c>
      <c r="J190" s="18">
        <v>0</v>
      </c>
      <c r="K190" s="22">
        <v>2</v>
      </c>
      <c r="L190" s="22">
        <v>0</v>
      </c>
      <c r="M190" s="22">
        <v>0</v>
      </c>
      <c r="N190" s="22">
        <v>0</v>
      </c>
      <c r="O190" s="22">
        <v>0</v>
      </c>
      <c r="P190" s="22">
        <v>19.743</v>
      </c>
      <c r="Q190" s="22">
        <v>0</v>
      </c>
      <c r="R190" s="22">
        <v>-1</v>
      </c>
      <c r="S190" s="23"/>
      <c r="T190" s="23"/>
      <c r="U190" s="23"/>
      <c r="V190" s="23"/>
      <c r="W190" s="23"/>
    </row>
    <row r="191" ht="16.5" spans="1:23">
      <c r="A191" s="21">
        <v>399965</v>
      </c>
      <c r="B191" s="21" t="s">
        <v>541</v>
      </c>
      <c r="C191" s="21">
        <v>2507.151</v>
      </c>
      <c r="D191" s="21">
        <v>2920.716</v>
      </c>
      <c r="E191" s="21">
        <v>0</v>
      </c>
      <c r="F191" s="21">
        <v>0</v>
      </c>
      <c r="G191" s="21">
        <v>1</v>
      </c>
      <c r="H191" s="18">
        <v>0</v>
      </c>
      <c r="I191" s="18">
        <v>0</v>
      </c>
      <c r="J191" s="18">
        <v>0</v>
      </c>
      <c r="K191" s="22">
        <v>1</v>
      </c>
      <c r="L191" s="22">
        <v>0</v>
      </c>
      <c r="M191" s="22">
        <v>0</v>
      </c>
      <c r="N191" s="22">
        <v>0</v>
      </c>
      <c r="O191" s="22">
        <v>0</v>
      </c>
      <c r="P191" s="22">
        <v>-1.245</v>
      </c>
      <c r="Q191" s="22">
        <v>0</v>
      </c>
      <c r="R191" s="22">
        <v>-1</v>
      </c>
      <c r="S191" s="23"/>
      <c r="T191" s="23"/>
      <c r="U191" s="23"/>
      <c r="V191" s="23"/>
      <c r="W191" s="23"/>
    </row>
    <row r="192" ht="16.5" spans="1:23">
      <c r="A192" s="21">
        <v>399966</v>
      </c>
      <c r="B192" s="21" t="s">
        <v>542</v>
      </c>
      <c r="C192" s="21">
        <v>6002.322</v>
      </c>
      <c r="D192" s="21">
        <v>7092.541</v>
      </c>
      <c r="E192" s="21">
        <v>0</v>
      </c>
      <c r="F192" s="21">
        <v>0</v>
      </c>
      <c r="G192" s="21">
        <v>1</v>
      </c>
      <c r="H192" s="18">
        <v>0</v>
      </c>
      <c r="I192" s="18">
        <v>0</v>
      </c>
      <c r="J192" s="18">
        <v>0</v>
      </c>
      <c r="K192" s="22">
        <v>2</v>
      </c>
      <c r="L192" s="22">
        <v>0</v>
      </c>
      <c r="M192" s="22">
        <v>0</v>
      </c>
      <c r="N192" s="22">
        <v>-1</v>
      </c>
      <c r="O192" s="22">
        <v>0</v>
      </c>
      <c r="P192" s="22">
        <v>-12.302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399970</v>
      </c>
      <c r="B193" s="21" t="s">
        <v>543</v>
      </c>
      <c r="C193" s="21">
        <v>4134.967</v>
      </c>
      <c r="D193" s="21">
        <v>5192.075</v>
      </c>
      <c r="E193" s="21">
        <v>0</v>
      </c>
      <c r="F193" s="21">
        <v>0</v>
      </c>
      <c r="G193" s="21">
        <v>1</v>
      </c>
      <c r="H193" s="18">
        <v>0</v>
      </c>
      <c r="I193" s="18">
        <v>0</v>
      </c>
      <c r="J193" s="18">
        <v>0</v>
      </c>
      <c r="K193" s="22">
        <v>3</v>
      </c>
      <c r="L193" s="22">
        <v>0</v>
      </c>
      <c r="M193" s="22">
        <v>0</v>
      </c>
      <c r="N193" s="22">
        <v>1</v>
      </c>
      <c r="O193" s="22">
        <v>0</v>
      </c>
      <c r="P193" s="22">
        <v>-13.857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399975</v>
      </c>
      <c r="B194" s="21" t="s">
        <v>544</v>
      </c>
      <c r="C194" s="21">
        <v>786.162</v>
      </c>
      <c r="D194" s="21">
        <v>905.762</v>
      </c>
      <c r="E194" s="21">
        <v>0</v>
      </c>
      <c r="F194" s="21">
        <v>0</v>
      </c>
      <c r="G194" s="21">
        <v>1</v>
      </c>
      <c r="H194" s="18">
        <v>0</v>
      </c>
      <c r="I194" s="18">
        <v>0</v>
      </c>
      <c r="J194" s="18">
        <v>0</v>
      </c>
      <c r="K194" s="22">
        <v>1</v>
      </c>
      <c r="L194" s="22">
        <v>0</v>
      </c>
      <c r="M194" s="22">
        <v>0</v>
      </c>
      <c r="N194" s="22">
        <v>-1</v>
      </c>
      <c r="O194" s="22">
        <v>0</v>
      </c>
      <c r="P194" s="22">
        <v>-7.694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399983</v>
      </c>
      <c r="B195" s="21" t="s">
        <v>545</v>
      </c>
      <c r="C195" s="21">
        <v>1916.014</v>
      </c>
      <c r="D195" s="21">
        <v>2291.229</v>
      </c>
      <c r="E195" s="21">
        <v>0</v>
      </c>
      <c r="F195" s="21">
        <v>0</v>
      </c>
      <c r="G195" s="21">
        <v>1</v>
      </c>
      <c r="H195" s="18">
        <v>0</v>
      </c>
      <c r="I195" s="18">
        <v>0</v>
      </c>
      <c r="J195" s="18">
        <v>0</v>
      </c>
      <c r="K195" s="22">
        <v>2</v>
      </c>
      <c r="L195" s="22">
        <v>0</v>
      </c>
      <c r="M195" s="22">
        <v>0</v>
      </c>
      <c r="N195" s="22">
        <v>-1</v>
      </c>
      <c r="O195" s="22">
        <v>0</v>
      </c>
      <c r="P195" s="22">
        <v>0.905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399987</v>
      </c>
      <c r="B196" s="21" t="s">
        <v>546</v>
      </c>
      <c r="C196" s="21">
        <v>4728.38</v>
      </c>
      <c r="D196" s="21">
        <v>5511.075</v>
      </c>
      <c r="E196" s="21">
        <v>0</v>
      </c>
      <c r="F196" s="21">
        <v>0</v>
      </c>
      <c r="G196" s="21">
        <v>1</v>
      </c>
      <c r="H196" s="18">
        <v>0</v>
      </c>
      <c r="I196" s="18">
        <v>0</v>
      </c>
      <c r="J196" s="18">
        <v>0</v>
      </c>
      <c r="K196" s="22">
        <v>1</v>
      </c>
      <c r="L196" s="22">
        <v>0</v>
      </c>
      <c r="M196" s="22">
        <v>0</v>
      </c>
      <c r="N196" s="22">
        <v>-1</v>
      </c>
      <c r="O196" s="22">
        <v>0</v>
      </c>
      <c r="P196" s="22">
        <v>0.368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399994</v>
      </c>
      <c r="B197" s="21" t="s">
        <v>547</v>
      </c>
      <c r="C197" s="21">
        <v>1711.268</v>
      </c>
      <c r="D197" s="21">
        <v>2104.968</v>
      </c>
      <c r="E197" s="21">
        <v>0</v>
      </c>
      <c r="F197" s="21">
        <v>0</v>
      </c>
      <c r="G197" s="21">
        <v>1</v>
      </c>
      <c r="H197" s="18">
        <v>0</v>
      </c>
      <c r="I197" s="18">
        <v>0</v>
      </c>
      <c r="J197" s="18">
        <v>0</v>
      </c>
      <c r="K197" s="22">
        <v>2</v>
      </c>
      <c r="L197" s="22">
        <v>0</v>
      </c>
      <c r="M197" s="22">
        <v>0</v>
      </c>
      <c r="N197" s="22">
        <v>-1</v>
      </c>
      <c r="O197" s="22">
        <v>0</v>
      </c>
      <c r="P197" s="22">
        <v>1.271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399997</v>
      </c>
      <c r="B198" s="21" t="s">
        <v>548</v>
      </c>
      <c r="C198" s="21">
        <v>8161.375</v>
      </c>
      <c r="D198" s="21">
        <v>9695.988</v>
      </c>
      <c r="E198" s="21">
        <v>0</v>
      </c>
      <c r="F198" s="21">
        <v>0</v>
      </c>
      <c r="G198" s="21">
        <v>1</v>
      </c>
      <c r="H198" s="18">
        <v>0</v>
      </c>
      <c r="I198" s="18">
        <v>0</v>
      </c>
      <c r="J198" s="18">
        <v>0</v>
      </c>
      <c r="K198" s="22">
        <v>4</v>
      </c>
      <c r="L198" s="22">
        <v>1</v>
      </c>
      <c r="M198" s="22">
        <v>-1</v>
      </c>
      <c r="N198" s="22">
        <v>1</v>
      </c>
      <c r="O198" s="22">
        <v>0</v>
      </c>
      <c r="P198" s="22">
        <v>-5.193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980001</v>
      </c>
      <c r="B199" s="21" t="s">
        <v>549</v>
      </c>
      <c r="C199" s="21">
        <v>1436.636</v>
      </c>
      <c r="D199" s="21">
        <v>1584.416</v>
      </c>
      <c r="E199" s="21">
        <v>0</v>
      </c>
      <c r="F199" s="21">
        <v>0</v>
      </c>
      <c r="G199" s="21">
        <v>1</v>
      </c>
      <c r="H199" s="18">
        <v>0</v>
      </c>
      <c r="I199" s="18">
        <v>0</v>
      </c>
      <c r="J199" s="18">
        <v>0</v>
      </c>
      <c r="K199" s="22">
        <v>1</v>
      </c>
      <c r="L199" s="22">
        <v>0</v>
      </c>
      <c r="M199" s="22">
        <v>0</v>
      </c>
      <c r="N199" s="22">
        <v>0</v>
      </c>
      <c r="O199" s="22">
        <v>0</v>
      </c>
      <c r="P199" s="22">
        <v>-2.02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980022</v>
      </c>
      <c r="B200" s="21" t="s">
        <v>550</v>
      </c>
      <c r="C200" s="21">
        <v>2293.191</v>
      </c>
      <c r="D200" s="21">
        <v>2884.73</v>
      </c>
      <c r="E200" s="21">
        <v>0</v>
      </c>
      <c r="F200" s="21">
        <v>0</v>
      </c>
      <c r="G200" s="21">
        <v>1</v>
      </c>
      <c r="H200" s="18">
        <v>0</v>
      </c>
      <c r="I200" s="18">
        <v>0</v>
      </c>
      <c r="J200" s="18">
        <v>0</v>
      </c>
      <c r="K200" s="22">
        <v>0</v>
      </c>
      <c r="L200" s="22">
        <v>2</v>
      </c>
      <c r="M200" s="22">
        <v>1</v>
      </c>
      <c r="N200" s="22">
        <v>-1</v>
      </c>
      <c r="O200" s="22">
        <v>0</v>
      </c>
      <c r="P200" s="22">
        <v>2.82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980023</v>
      </c>
      <c r="B201" s="21" t="s">
        <v>551</v>
      </c>
      <c r="C201" s="21">
        <v>2285.095</v>
      </c>
      <c r="D201" s="21">
        <v>2641.987</v>
      </c>
      <c r="E201" s="21">
        <v>0</v>
      </c>
      <c r="F201" s="21">
        <v>0</v>
      </c>
      <c r="G201" s="21">
        <v>1</v>
      </c>
      <c r="H201" s="18">
        <v>0</v>
      </c>
      <c r="I201" s="18">
        <v>0</v>
      </c>
      <c r="J201" s="18">
        <v>0</v>
      </c>
      <c r="K201" s="22">
        <v>4</v>
      </c>
      <c r="L201" s="22">
        <v>0</v>
      </c>
      <c r="M201" s="22">
        <v>-1</v>
      </c>
      <c r="N201" s="22">
        <v>1</v>
      </c>
      <c r="O201" s="22">
        <v>0</v>
      </c>
      <c r="P201" s="22">
        <v>-1.305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980028</v>
      </c>
      <c r="B202" s="21" t="s">
        <v>552</v>
      </c>
      <c r="C202" s="21">
        <v>11894.348</v>
      </c>
      <c r="D202" s="21">
        <v>12982.266</v>
      </c>
      <c r="E202" s="21">
        <v>0</v>
      </c>
      <c r="F202" s="21">
        <v>0</v>
      </c>
      <c r="G202" s="21">
        <v>1</v>
      </c>
      <c r="H202" s="18">
        <v>0</v>
      </c>
      <c r="I202" s="18">
        <v>0</v>
      </c>
      <c r="J202" s="18">
        <v>0</v>
      </c>
      <c r="K202" s="22">
        <v>2</v>
      </c>
      <c r="L202" s="22">
        <v>0</v>
      </c>
      <c r="M202" s="22">
        <v>0</v>
      </c>
      <c r="N202" s="22">
        <v>0</v>
      </c>
      <c r="O202" s="22">
        <v>0</v>
      </c>
      <c r="P202" s="22">
        <v>-1.807</v>
      </c>
      <c r="Q202" s="22">
        <v>0</v>
      </c>
      <c r="R202" s="22">
        <v>-1</v>
      </c>
      <c r="S202" s="23"/>
      <c r="T202" s="23"/>
      <c r="U202" s="23"/>
      <c r="V202" s="23"/>
      <c r="W202" s="23"/>
    </row>
    <row r="203" ht="16.5" spans="1:23">
      <c r="A203" s="21">
        <v>988201</v>
      </c>
      <c r="B203" s="21" t="s">
        <v>553</v>
      </c>
      <c r="C203" s="21">
        <v>1764.921</v>
      </c>
      <c r="D203" s="21">
        <v>1943.312</v>
      </c>
      <c r="E203" s="21">
        <v>0</v>
      </c>
      <c r="F203" s="21">
        <v>0</v>
      </c>
      <c r="G203" s="21">
        <v>1</v>
      </c>
      <c r="H203" s="18">
        <v>0</v>
      </c>
      <c r="I203" s="18">
        <v>0</v>
      </c>
      <c r="J203" s="18">
        <v>0</v>
      </c>
      <c r="K203" s="22">
        <v>2</v>
      </c>
      <c r="L203" s="22">
        <v>0</v>
      </c>
      <c r="M203" s="22">
        <v>0</v>
      </c>
      <c r="N203" s="22">
        <v>0</v>
      </c>
      <c r="O203" s="22">
        <v>0</v>
      </c>
      <c r="P203" s="22">
        <v>-0.892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3"/>
      <c r="T204" s="23"/>
      <c r="U204" s="23"/>
      <c r="V204" s="23"/>
      <c r="W204" s="23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3"/>
      <c r="T205" s="23"/>
      <c r="U205" s="23"/>
      <c r="V205" s="23"/>
      <c r="W205" s="23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3"/>
      <c r="T206" s="23"/>
      <c r="U206" s="23"/>
      <c r="V206" s="23"/>
      <c r="W206" s="23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3"/>
      <c r="T207" s="23"/>
      <c r="U207" s="23"/>
      <c r="V207" s="23"/>
      <c r="W207" s="23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3"/>
      <c r="T208" s="23"/>
      <c r="U208" s="23"/>
      <c r="V208" s="23"/>
      <c r="W208" s="23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3"/>
      <c r="T209" s="23"/>
      <c r="U209" s="23"/>
      <c r="V209" s="23"/>
      <c r="W209" s="23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3"/>
      <c r="T210" s="23"/>
      <c r="U210" s="23"/>
      <c r="V210" s="23"/>
      <c r="W210" s="23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3"/>
      <c r="T211" s="23"/>
      <c r="U211" s="23"/>
      <c r="V211" s="23"/>
      <c r="W211" s="23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3"/>
      <c r="T212" s="23"/>
      <c r="U212" s="23"/>
      <c r="V212" s="23"/>
      <c r="W212" s="23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3"/>
      <c r="T213" s="23"/>
      <c r="U213" s="23"/>
      <c r="V213" s="23"/>
      <c r="W213" s="23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3"/>
      <c r="T214" s="23"/>
      <c r="U214" s="23"/>
      <c r="V214" s="23"/>
      <c r="W214" s="23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3"/>
      <c r="T215" s="23"/>
      <c r="U215" s="23"/>
      <c r="V215" s="23"/>
      <c r="W215" s="23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3"/>
      <c r="T216" s="23"/>
      <c r="U216" s="23"/>
      <c r="V216" s="23"/>
      <c r="W216" s="23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3"/>
      <c r="T217" s="23"/>
      <c r="U217" s="23"/>
      <c r="V217" s="23"/>
      <c r="W217" s="23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3"/>
      <c r="T218" s="23"/>
      <c r="U218" s="23"/>
      <c r="V218" s="23"/>
      <c r="W218" s="23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3"/>
      <c r="T219" s="23"/>
      <c r="U219" s="23"/>
      <c r="V219" s="23"/>
      <c r="W219" s="23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3"/>
      <c r="T220" s="23"/>
      <c r="U220" s="23"/>
      <c r="V220" s="23"/>
      <c r="W220" s="23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3"/>
      <c r="T221" s="23"/>
      <c r="U221" s="23"/>
      <c r="V221" s="23"/>
      <c r="W221" s="23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3"/>
      <c r="T222" s="23"/>
      <c r="U222" s="23"/>
      <c r="V222" s="23"/>
      <c r="W222" s="23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3"/>
      <c r="T223" s="23"/>
      <c r="U223" s="23"/>
      <c r="V223" s="23"/>
      <c r="W223" s="23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3"/>
      <c r="T224" s="23"/>
      <c r="U224" s="23"/>
      <c r="V224" s="23"/>
      <c r="W224" s="23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3"/>
      <c r="T225" s="23"/>
      <c r="U225" s="23"/>
      <c r="V225" s="23"/>
      <c r="W225" s="23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3"/>
      <c r="T226" s="23"/>
      <c r="U226" s="23"/>
      <c r="V226" s="23"/>
      <c r="W226" s="23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3"/>
      <c r="T227" s="23"/>
      <c r="U227" s="23"/>
      <c r="V227" s="23"/>
      <c r="W227" s="23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3"/>
      <c r="T228" s="23"/>
      <c r="U228" s="23"/>
      <c r="V228" s="23"/>
      <c r="W228" s="23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3"/>
      <c r="T229" s="23"/>
      <c r="U229" s="23"/>
      <c r="V229" s="23"/>
      <c r="W229" s="23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3"/>
      <c r="T230" s="23"/>
      <c r="U230" s="23"/>
      <c r="V230" s="23"/>
      <c r="W230" s="23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3"/>
      <c r="T231" s="23"/>
      <c r="U231" s="23"/>
      <c r="V231" s="23"/>
      <c r="W231" s="23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3"/>
      <c r="T232" s="23"/>
      <c r="U232" s="23"/>
      <c r="V232" s="23"/>
      <c r="W232" s="23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3"/>
      <c r="T233" s="23"/>
      <c r="U233" s="23"/>
      <c r="V233" s="23"/>
      <c r="W233" s="23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3"/>
      <c r="T234" s="23"/>
      <c r="U234" s="23"/>
      <c r="V234" s="23"/>
      <c r="W234" s="23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3"/>
      <c r="T235" s="23"/>
      <c r="U235" s="23"/>
      <c r="V235" s="23"/>
      <c r="W235" s="23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3"/>
      <c r="T236" s="23"/>
      <c r="U236" s="23"/>
      <c r="V236" s="23"/>
      <c r="W236" s="23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3"/>
      <c r="T237" s="23"/>
      <c r="U237" s="23"/>
      <c r="V237" s="23"/>
      <c r="W237" s="23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3"/>
      <c r="T238" s="23"/>
      <c r="U238" s="23"/>
      <c r="V238" s="23"/>
      <c r="W238" s="23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3"/>
      <c r="T239" s="23"/>
      <c r="U239" s="23"/>
      <c r="V239" s="23"/>
      <c r="W239" s="23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3"/>
      <c r="T240" s="23"/>
      <c r="U240" s="23"/>
      <c r="V240" s="23"/>
      <c r="W240" s="23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3"/>
      <c r="T241" s="23"/>
      <c r="U241" s="23"/>
      <c r="V241" s="23"/>
      <c r="W241" s="23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3"/>
      <c r="T242" s="23"/>
      <c r="U242" s="23"/>
      <c r="V242" s="23"/>
      <c r="W242" s="23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3"/>
      <c r="T243" s="23"/>
      <c r="U243" s="23"/>
      <c r="V243" s="23"/>
      <c r="W243" s="23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3"/>
      <c r="T244" s="23"/>
      <c r="U244" s="23"/>
      <c r="V244" s="23"/>
      <c r="W244" s="23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3"/>
      <c r="T245" s="23"/>
      <c r="U245" s="23"/>
      <c r="V245" s="23"/>
      <c r="W245" s="23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3"/>
      <c r="T246" s="23"/>
      <c r="U246" s="23"/>
      <c r="V246" s="23"/>
      <c r="W246" s="23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3"/>
      <c r="T247" s="23"/>
      <c r="U247" s="23"/>
      <c r="V247" s="23"/>
      <c r="W247" s="23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3"/>
      <c r="T248" s="23"/>
      <c r="U248" s="23"/>
      <c r="V248" s="23"/>
      <c r="W248" s="23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3"/>
      <c r="T249" s="23"/>
      <c r="U249" s="23"/>
      <c r="V249" s="23"/>
      <c r="W249" s="23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3"/>
      <c r="T250" s="23"/>
      <c r="U250" s="23"/>
      <c r="V250" s="23"/>
      <c r="W250" s="23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3"/>
      <c r="T251" s="23"/>
      <c r="U251" s="23"/>
      <c r="V251" s="23"/>
      <c r="W251" s="23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3"/>
      <c r="T252" s="23"/>
      <c r="U252" s="23"/>
      <c r="V252" s="23"/>
      <c r="W252" s="23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3"/>
      <c r="T253" s="23"/>
      <c r="U253" s="23"/>
      <c r="V253" s="23"/>
      <c r="W253" s="23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3"/>
      <c r="T254" s="23"/>
      <c r="U254" s="23"/>
      <c r="V254" s="23"/>
      <c r="W254" s="23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3"/>
      <c r="T255" s="23"/>
      <c r="U255" s="23"/>
      <c r="V255" s="23"/>
      <c r="W255" s="23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3"/>
      <c r="T256" s="23"/>
      <c r="U256" s="23"/>
      <c r="V256" s="23"/>
      <c r="W256" s="23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3"/>
      <c r="T257" s="23"/>
      <c r="U257" s="23"/>
      <c r="V257" s="23"/>
      <c r="W257" s="23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3"/>
      <c r="T258" s="23"/>
      <c r="U258" s="23"/>
      <c r="V258" s="23"/>
      <c r="W258" s="23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3"/>
      <c r="T259" s="23"/>
      <c r="U259" s="23"/>
      <c r="V259" s="23"/>
      <c r="W259" s="23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3"/>
      <c r="T260" s="23"/>
      <c r="U260" s="23"/>
      <c r="V260" s="23"/>
      <c r="W260" s="23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3"/>
      <c r="T261" s="23"/>
      <c r="U261" s="23"/>
      <c r="V261" s="23"/>
      <c r="W261" s="23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3"/>
      <c r="T262" s="23"/>
      <c r="U262" s="23"/>
      <c r="V262" s="23"/>
      <c r="W262" s="23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3"/>
      <c r="T263" s="23"/>
      <c r="U263" s="23"/>
      <c r="V263" s="23"/>
      <c r="W263" s="23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3"/>
      <c r="T264" s="23"/>
      <c r="U264" s="23"/>
      <c r="V264" s="23"/>
      <c r="W264" s="23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3"/>
      <c r="T265" s="23"/>
      <c r="U265" s="23"/>
      <c r="V265" s="23"/>
      <c r="W265" s="23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3"/>
      <c r="T266" s="23"/>
      <c r="U266" s="23"/>
      <c r="V266" s="23"/>
      <c r="W266" s="23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3"/>
      <c r="T267" s="23"/>
      <c r="U267" s="23"/>
      <c r="V267" s="23"/>
      <c r="W267" s="23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3"/>
      <c r="T268" s="23"/>
      <c r="U268" s="23"/>
      <c r="V268" s="23"/>
      <c r="W268" s="23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3"/>
      <c r="T269" s="23"/>
      <c r="U269" s="23"/>
      <c r="V269" s="23"/>
      <c r="W269" s="23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3"/>
      <c r="T270" s="23"/>
      <c r="U270" s="23"/>
      <c r="V270" s="23"/>
      <c r="W270" s="23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3"/>
      <c r="T271" s="23"/>
      <c r="U271" s="23"/>
      <c r="V271" s="23"/>
      <c r="W271" s="23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3"/>
      <c r="T272" s="23"/>
      <c r="U272" s="23"/>
      <c r="V272" s="23"/>
      <c r="W272" s="23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3"/>
      <c r="T273" s="23"/>
      <c r="U273" s="23"/>
      <c r="V273" s="23"/>
      <c r="W273" s="23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3"/>
      <c r="T274" s="23"/>
      <c r="U274" s="23"/>
      <c r="V274" s="23"/>
      <c r="W274" s="23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3"/>
      <c r="T275" s="23"/>
      <c r="U275" s="23"/>
      <c r="V275" s="23"/>
      <c r="W275" s="23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3"/>
      <c r="T276" s="23"/>
      <c r="U276" s="23"/>
      <c r="V276" s="23"/>
      <c r="W276" s="23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3"/>
      <c r="T277" s="23"/>
      <c r="U277" s="23"/>
      <c r="V277" s="23"/>
      <c r="W277" s="23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3"/>
      <c r="T278" s="23"/>
      <c r="U278" s="23"/>
      <c r="V278" s="23"/>
      <c r="W278" s="23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3"/>
      <c r="T279" s="23"/>
      <c r="U279" s="23"/>
      <c r="V279" s="23"/>
      <c r="W279" s="23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3"/>
      <c r="T280" s="23"/>
      <c r="U280" s="23"/>
      <c r="V280" s="23"/>
      <c r="W280" s="23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3"/>
      <c r="T281" s="23"/>
      <c r="U281" s="23"/>
      <c r="V281" s="23"/>
      <c r="W281" s="23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3"/>
      <c r="T282" s="23"/>
      <c r="U282" s="23"/>
      <c r="V282" s="23"/>
      <c r="W282" s="23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3"/>
      <c r="T283" s="23"/>
      <c r="U283" s="23"/>
      <c r="V283" s="23"/>
      <c r="W283" s="23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3"/>
      <c r="T284" s="23"/>
      <c r="U284" s="23"/>
      <c r="V284" s="23"/>
      <c r="W284" s="23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3"/>
      <c r="T285" s="23"/>
      <c r="U285" s="23"/>
      <c r="V285" s="23"/>
      <c r="W285" s="23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3"/>
      <c r="T286" s="23"/>
      <c r="U286" s="23"/>
      <c r="V286" s="23"/>
      <c r="W286" s="23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3"/>
      <c r="T287" s="23"/>
      <c r="U287" s="23"/>
      <c r="V287" s="23"/>
      <c r="W287" s="23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3"/>
      <c r="T288" s="23"/>
      <c r="U288" s="23"/>
      <c r="V288" s="23"/>
      <c r="W288" s="23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3"/>
      <c r="T289" s="23"/>
      <c r="U289" s="23"/>
      <c r="V289" s="23"/>
      <c r="W289" s="23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3"/>
      <c r="T290" s="23"/>
      <c r="U290" s="23"/>
      <c r="V290" s="23"/>
      <c r="W290" s="23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3"/>
      <c r="T291" s="23"/>
      <c r="U291" s="23"/>
      <c r="V291" s="23"/>
      <c r="W291" s="23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3"/>
      <c r="T292" s="23"/>
      <c r="U292" s="23"/>
      <c r="V292" s="23"/>
      <c r="W292" s="23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3"/>
      <c r="T293" s="23"/>
      <c r="U293" s="23"/>
      <c r="V293" s="23"/>
      <c r="W293" s="23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3"/>
      <c r="T294" s="23"/>
      <c r="U294" s="23"/>
      <c r="V294" s="23"/>
      <c r="W294" s="23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3"/>
      <c r="T295" s="23"/>
      <c r="U295" s="23"/>
      <c r="V295" s="23"/>
      <c r="W295" s="23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3"/>
      <c r="T296" s="23"/>
      <c r="U296" s="23"/>
      <c r="V296" s="23"/>
      <c r="W296" s="23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3"/>
      <c r="T297" s="23"/>
      <c r="U297" s="23"/>
      <c r="V297" s="23"/>
      <c r="W297" s="23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3"/>
      <c r="T298" s="23"/>
      <c r="U298" s="23"/>
      <c r="V298" s="23"/>
      <c r="W298" s="23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3"/>
      <c r="T299" s="23"/>
      <c r="U299" s="23"/>
      <c r="V299" s="23"/>
      <c r="W299" s="23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3"/>
      <c r="T300" s="23"/>
      <c r="U300" s="23"/>
      <c r="V300" s="23"/>
      <c r="W300" s="23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3"/>
      <c r="T301" s="23"/>
      <c r="U301" s="23"/>
      <c r="V301" s="23"/>
      <c r="W301" s="23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3"/>
      <c r="T302" s="23"/>
      <c r="U302" s="23"/>
      <c r="V302" s="23"/>
      <c r="W302" s="23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3"/>
      <c r="T303" s="23"/>
      <c r="U303" s="23"/>
      <c r="V303" s="23"/>
      <c r="W303" s="23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3"/>
      <c r="T304" s="23"/>
      <c r="U304" s="23"/>
      <c r="V304" s="23"/>
      <c r="W304" s="23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3"/>
      <c r="T305" s="23"/>
      <c r="U305" s="23"/>
      <c r="V305" s="23"/>
      <c r="W305" s="23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3"/>
      <c r="T306" s="23"/>
      <c r="U306" s="23"/>
      <c r="V306" s="23"/>
      <c r="W306" s="23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3"/>
      <c r="T307" s="23"/>
      <c r="U307" s="23"/>
      <c r="V307" s="23"/>
      <c r="W307" s="23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3"/>
      <c r="T308" s="23"/>
      <c r="U308" s="23"/>
      <c r="V308" s="23"/>
      <c r="W308" s="23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3"/>
      <c r="T309" s="23"/>
      <c r="U309" s="23"/>
      <c r="V309" s="23"/>
      <c r="W309" s="23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3"/>
      <c r="T310" s="23"/>
      <c r="U310" s="23"/>
      <c r="V310" s="23"/>
      <c r="W310" s="23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3"/>
      <c r="T311" s="23"/>
      <c r="U311" s="23"/>
      <c r="V311" s="23"/>
      <c r="W311" s="23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3"/>
      <c r="T312" s="23"/>
      <c r="U312" s="23"/>
      <c r="V312" s="23"/>
      <c r="W312" s="23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3"/>
      <c r="T313" s="23"/>
      <c r="U313" s="23"/>
      <c r="V313" s="23"/>
      <c r="W313" s="23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3"/>
      <c r="T314" s="23"/>
      <c r="U314" s="23"/>
      <c r="V314" s="23"/>
      <c r="W314" s="23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3"/>
      <c r="T315" s="23"/>
      <c r="U315" s="23"/>
      <c r="V315" s="23"/>
      <c r="W315" s="23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3"/>
      <c r="T316" s="23"/>
      <c r="U316" s="23"/>
      <c r="V316" s="23"/>
      <c r="W316" s="23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3"/>
      <c r="T317" s="23"/>
      <c r="U317" s="23"/>
      <c r="V317" s="23"/>
      <c r="W317" s="23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3"/>
      <c r="T318" s="23"/>
      <c r="U318" s="23"/>
      <c r="V318" s="23"/>
      <c r="W318" s="23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3"/>
      <c r="T319" s="23"/>
      <c r="U319" s="23"/>
      <c r="V319" s="23"/>
      <c r="W319" s="23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3"/>
      <c r="T320" s="23"/>
      <c r="U320" s="23"/>
      <c r="V320" s="23"/>
      <c r="W320" s="23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3"/>
      <c r="T321" s="23"/>
      <c r="U321" s="23"/>
      <c r="V321" s="23"/>
      <c r="W321" s="23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3"/>
      <c r="T322" s="23"/>
      <c r="U322" s="23"/>
      <c r="V322" s="23"/>
      <c r="W322" s="23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3"/>
      <c r="T323" s="23"/>
      <c r="U323" s="23"/>
      <c r="V323" s="23"/>
      <c r="W323" s="23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3"/>
      <c r="T324" s="23"/>
      <c r="U324" s="23"/>
      <c r="V324" s="23"/>
      <c r="W324" s="23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3"/>
      <c r="T325" s="23"/>
      <c r="U325" s="23"/>
      <c r="V325" s="23"/>
      <c r="W325" s="23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3"/>
      <c r="T326" s="23"/>
      <c r="U326" s="23"/>
      <c r="V326" s="23"/>
      <c r="W326" s="23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3"/>
      <c r="T327" s="23"/>
      <c r="U327" s="23"/>
      <c r="V327" s="23"/>
      <c r="W327" s="23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3"/>
      <c r="T328" s="23"/>
      <c r="U328" s="23"/>
      <c r="V328" s="23"/>
      <c r="W328" s="23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3"/>
      <c r="T329" s="23"/>
      <c r="U329" s="23"/>
      <c r="V329" s="23"/>
      <c r="W329" s="23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3"/>
      <c r="T330" s="23"/>
      <c r="U330" s="23"/>
      <c r="V330" s="23"/>
      <c r="W330" s="23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3"/>
      <c r="T331" s="23"/>
      <c r="U331" s="23"/>
      <c r="V331" s="23"/>
      <c r="W331" s="23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3"/>
      <c r="T332" s="23"/>
      <c r="U332" s="23"/>
      <c r="V332" s="23"/>
      <c r="W332" s="23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3"/>
      <c r="T333" s="23"/>
      <c r="U333" s="23"/>
      <c r="V333" s="23"/>
      <c r="W333" s="23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3"/>
      <c r="T334" s="23"/>
      <c r="U334" s="23"/>
      <c r="V334" s="23"/>
      <c r="W334" s="23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3"/>
      <c r="T335" s="23"/>
      <c r="U335" s="23"/>
      <c r="V335" s="23"/>
      <c r="W335" s="23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3"/>
      <c r="T336" s="23"/>
      <c r="U336" s="23"/>
      <c r="V336" s="23"/>
      <c r="W336" s="23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3"/>
      <c r="T337" s="23"/>
      <c r="U337" s="23"/>
      <c r="V337" s="23"/>
      <c r="W337" s="23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3"/>
      <c r="T338" s="23"/>
      <c r="U338" s="23"/>
      <c r="V338" s="23"/>
      <c r="W338" s="23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3"/>
      <c r="T339" s="23"/>
      <c r="U339" s="23"/>
      <c r="V339" s="23"/>
      <c r="W339" s="23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3"/>
      <c r="T340" s="23"/>
      <c r="U340" s="23"/>
      <c r="V340" s="23"/>
      <c r="W340" s="23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3"/>
      <c r="T341" s="23"/>
      <c r="U341" s="23"/>
      <c r="V341" s="23"/>
      <c r="W341" s="23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3"/>
      <c r="T342" s="23"/>
      <c r="U342" s="23"/>
      <c r="V342" s="23"/>
      <c r="W342" s="23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3"/>
      <c r="T343" s="23"/>
      <c r="U343" s="23"/>
      <c r="V343" s="23"/>
      <c r="W343" s="23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3"/>
      <c r="T344" s="23"/>
      <c r="U344" s="23"/>
      <c r="V344" s="23"/>
      <c r="W344" s="23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3"/>
      <c r="T345" s="23"/>
      <c r="U345" s="23"/>
      <c r="V345" s="23"/>
      <c r="W345" s="23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3"/>
      <c r="T346" s="23"/>
      <c r="U346" s="23"/>
      <c r="V346" s="23"/>
      <c r="W346" s="23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3"/>
      <c r="T347" s="23"/>
      <c r="U347" s="23"/>
      <c r="V347" s="23"/>
      <c r="W347" s="23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3"/>
      <c r="T348" s="23"/>
      <c r="U348" s="23"/>
      <c r="V348" s="23"/>
      <c r="W348" s="23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3"/>
      <c r="T349" s="23"/>
      <c r="U349" s="23"/>
      <c r="V349" s="23"/>
      <c r="W349" s="23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3"/>
      <c r="T350" s="23"/>
      <c r="U350" s="23"/>
      <c r="V350" s="23"/>
      <c r="W350" s="23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3"/>
      <c r="T351" s="23"/>
      <c r="U351" s="23"/>
      <c r="V351" s="23"/>
      <c r="W351" s="23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3"/>
      <c r="T352" s="23"/>
      <c r="U352" s="23"/>
      <c r="V352" s="23"/>
      <c r="W352" s="23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3"/>
      <c r="T353" s="23"/>
      <c r="U353" s="23"/>
      <c r="V353" s="23"/>
      <c r="W353" s="23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3"/>
      <c r="T354" s="23"/>
      <c r="U354" s="23"/>
      <c r="V354" s="23"/>
      <c r="W354" s="23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3"/>
      <c r="T355" s="23"/>
      <c r="U355" s="23"/>
      <c r="V355" s="23"/>
      <c r="W355" s="23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3"/>
      <c r="T356" s="23"/>
      <c r="U356" s="23"/>
      <c r="V356" s="23"/>
      <c r="W356" s="23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3"/>
      <c r="T357" s="23"/>
      <c r="U357" s="23"/>
      <c r="V357" s="23"/>
      <c r="W357" s="23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3"/>
      <c r="T358" s="23"/>
      <c r="U358" s="23"/>
      <c r="V358" s="23"/>
      <c r="W358" s="23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3"/>
      <c r="T359" s="23"/>
      <c r="U359" s="23"/>
      <c r="V359" s="23"/>
      <c r="W359" s="23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3"/>
      <c r="T360" s="23"/>
      <c r="U360" s="23"/>
      <c r="V360" s="23"/>
      <c r="W360" s="23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3"/>
      <c r="T361" s="23"/>
      <c r="U361" s="23"/>
      <c r="V361" s="23"/>
      <c r="W361" s="23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3"/>
      <c r="T362" s="23"/>
      <c r="U362" s="23"/>
      <c r="V362" s="23"/>
      <c r="W362" s="23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3"/>
      <c r="T363" s="23"/>
      <c r="U363" s="23"/>
      <c r="V363" s="23"/>
      <c r="W363" s="23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3"/>
      <c r="T364" s="23"/>
      <c r="U364" s="23"/>
      <c r="V364" s="23"/>
      <c r="W364" s="23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3"/>
      <c r="T365" s="23"/>
      <c r="U365" s="23"/>
      <c r="V365" s="23"/>
      <c r="W365" s="23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3"/>
      <c r="T366" s="23"/>
      <c r="U366" s="23"/>
      <c r="V366" s="23"/>
      <c r="W366" s="23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3"/>
      <c r="T367" s="23"/>
      <c r="U367" s="23"/>
      <c r="V367" s="23"/>
      <c r="W367" s="23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3"/>
      <c r="T368" s="23"/>
      <c r="U368" s="23"/>
      <c r="V368" s="23"/>
      <c r="W368" s="23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3"/>
      <c r="T369" s="23"/>
      <c r="U369" s="23"/>
      <c r="V369" s="23"/>
      <c r="W369" s="23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3"/>
      <c r="T370" s="23"/>
      <c r="U370" s="23"/>
      <c r="V370" s="23"/>
      <c r="W370" s="23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3"/>
      <c r="T371" s="23"/>
      <c r="U371" s="23"/>
      <c r="V371" s="23"/>
      <c r="W371" s="23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3"/>
      <c r="T372" s="23"/>
      <c r="U372" s="23"/>
      <c r="V372" s="23"/>
      <c r="W372" s="23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3"/>
      <c r="T373" s="23"/>
      <c r="U373" s="23"/>
      <c r="V373" s="23"/>
      <c r="W373" s="23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3"/>
      <c r="T374" s="23"/>
      <c r="U374" s="23"/>
      <c r="V374" s="23"/>
      <c r="W374" s="23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3"/>
      <c r="T375" s="23"/>
      <c r="U375" s="23"/>
      <c r="V375" s="23"/>
      <c r="W375" s="23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3"/>
      <c r="T376" s="23"/>
      <c r="U376" s="23"/>
      <c r="V376" s="23"/>
      <c r="W376" s="23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3"/>
      <c r="T377" s="23"/>
      <c r="U377" s="23"/>
      <c r="V377" s="23"/>
      <c r="W377" s="23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3"/>
      <c r="T378" s="23"/>
      <c r="U378" s="23"/>
      <c r="V378" s="23"/>
      <c r="W378" s="23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3"/>
      <c r="T379" s="23"/>
      <c r="U379" s="23"/>
      <c r="V379" s="23"/>
      <c r="W379" s="23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3"/>
      <c r="T380" s="23"/>
      <c r="U380" s="23"/>
      <c r="V380" s="23"/>
      <c r="W380" s="23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3"/>
      <c r="T381" s="23"/>
      <c r="U381" s="23"/>
      <c r="V381" s="23"/>
      <c r="W381" s="23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3"/>
      <c r="T382" s="23"/>
      <c r="U382" s="23"/>
      <c r="V382" s="23"/>
      <c r="W382" s="23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3"/>
      <c r="T383" s="23"/>
      <c r="U383" s="23"/>
      <c r="V383" s="23"/>
      <c r="W383" s="23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3"/>
      <c r="T384" s="23"/>
      <c r="U384" s="23"/>
      <c r="V384" s="23"/>
      <c r="W384" s="23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3"/>
      <c r="T385" s="23"/>
      <c r="U385" s="23"/>
      <c r="V385" s="23"/>
      <c r="W385" s="23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3"/>
      <c r="T386" s="23"/>
      <c r="U386" s="23"/>
      <c r="V386" s="23"/>
      <c r="W386" s="23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3"/>
      <c r="T387" s="23"/>
      <c r="U387" s="23"/>
      <c r="V387" s="23"/>
      <c r="W387" s="23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3"/>
      <c r="T388" s="23"/>
      <c r="U388" s="23"/>
      <c r="V388" s="23"/>
      <c r="W388" s="23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3"/>
      <c r="T389" s="23"/>
      <c r="U389" s="23"/>
      <c r="V389" s="23"/>
      <c r="W389" s="23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3"/>
      <c r="T390" s="23"/>
      <c r="U390" s="23"/>
      <c r="V390" s="23"/>
      <c r="W390" s="23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3"/>
      <c r="T391" s="23"/>
      <c r="U391" s="23"/>
      <c r="V391" s="23"/>
      <c r="W391" s="23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3"/>
      <c r="T392" s="23"/>
      <c r="U392" s="23"/>
      <c r="V392" s="23"/>
      <c r="W392" s="23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3"/>
      <c r="T393" s="23"/>
      <c r="U393" s="23"/>
      <c r="V393" s="23"/>
      <c r="W393" s="23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3"/>
      <c r="T394" s="23"/>
      <c r="U394" s="23"/>
      <c r="V394" s="23"/>
      <c r="W394" s="23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3"/>
      <c r="T395" s="23"/>
      <c r="U395" s="23"/>
      <c r="V395" s="23"/>
      <c r="W395" s="23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3"/>
      <c r="T396" s="23"/>
      <c r="U396" s="23"/>
      <c r="V396" s="23"/>
      <c r="W396" s="23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3"/>
      <c r="T397" s="23"/>
      <c r="U397" s="23"/>
      <c r="V397" s="23"/>
      <c r="W397" s="23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3"/>
      <c r="T398" s="23"/>
      <c r="U398" s="23"/>
      <c r="V398" s="23"/>
      <c r="W398" s="23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3"/>
      <c r="T399" s="23"/>
      <c r="U399" s="23"/>
      <c r="V399" s="23"/>
      <c r="W399" s="23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3"/>
      <c r="T400" s="23"/>
      <c r="U400" s="23"/>
      <c r="V400" s="23"/>
      <c r="W400" s="23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3"/>
      <c r="T401" s="23"/>
      <c r="U401" s="23"/>
      <c r="V401" s="23"/>
      <c r="W401" s="23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3"/>
      <c r="T402" s="23"/>
      <c r="U402" s="23"/>
      <c r="V402" s="23"/>
      <c r="W402" s="23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3"/>
      <c r="T403" s="23"/>
      <c r="U403" s="23"/>
      <c r="V403" s="23"/>
      <c r="W403" s="23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3"/>
      <c r="T404" s="23"/>
      <c r="U404" s="23"/>
      <c r="V404" s="23"/>
      <c r="W404" s="23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3"/>
      <c r="T405" s="23"/>
      <c r="U405" s="23"/>
      <c r="V405" s="23"/>
      <c r="W405" s="23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3"/>
      <c r="T406" s="23"/>
      <c r="U406" s="23"/>
      <c r="V406" s="23"/>
      <c r="W406" s="23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3"/>
      <c r="T407" s="23"/>
      <c r="U407" s="23"/>
      <c r="V407" s="23"/>
      <c r="W407" s="23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3"/>
      <c r="T408" s="23"/>
      <c r="U408" s="23"/>
      <c r="V408" s="23"/>
      <c r="W408" s="23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3"/>
      <c r="T409" s="23"/>
      <c r="U409" s="23"/>
      <c r="V409" s="23"/>
      <c r="W409" s="23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3"/>
      <c r="T410" s="23"/>
      <c r="U410" s="23"/>
      <c r="V410" s="23"/>
      <c r="W410" s="23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3"/>
      <c r="T411" s="23"/>
      <c r="U411" s="23"/>
      <c r="V411" s="23"/>
      <c r="W411" s="23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3"/>
      <c r="T412" s="23"/>
      <c r="U412" s="23"/>
      <c r="V412" s="23"/>
      <c r="W412" s="23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3"/>
      <c r="T413" s="23"/>
      <c r="U413" s="23"/>
      <c r="V413" s="23"/>
      <c r="W413" s="23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3"/>
      <c r="T414" s="23"/>
      <c r="U414" s="23"/>
      <c r="V414" s="23"/>
      <c r="W414" s="23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3"/>
      <c r="T415" s="23"/>
      <c r="U415" s="23"/>
      <c r="V415" s="23"/>
      <c r="W415" s="23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3"/>
      <c r="T416" s="23"/>
      <c r="U416" s="23"/>
      <c r="V416" s="23"/>
      <c r="W416" s="23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3"/>
      <c r="T417" s="23"/>
      <c r="U417" s="23"/>
      <c r="V417" s="23"/>
      <c r="W417" s="23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3"/>
      <c r="T418" s="23"/>
      <c r="U418" s="23"/>
      <c r="V418" s="23"/>
      <c r="W418" s="23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3"/>
      <c r="T419" s="23"/>
      <c r="U419" s="23"/>
      <c r="V419" s="23"/>
      <c r="W419" s="23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3"/>
      <c r="T420" s="23"/>
      <c r="U420" s="23"/>
      <c r="V420" s="23"/>
      <c r="W420" s="23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3"/>
      <c r="T421" s="23"/>
      <c r="U421" s="23"/>
      <c r="V421" s="23"/>
      <c r="W421" s="23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3"/>
      <c r="T422" s="23"/>
      <c r="U422" s="23"/>
      <c r="V422" s="23"/>
      <c r="W422" s="23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3"/>
      <c r="T423" s="23"/>
      <c r="U423" s="23"/>
      <c r="V423" s="23"/>
      <c r="W423" s="23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3"/>
      <c r="T424" s="23"/>
      <c r="U424" s="23"/>
      <c r="V424" s="23"/>
      <c r="W424" s="23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3"/>
      <c r="T425" s="23"/>
      <c r="U425" s="23"/>
      <c r="V425" s="23"/>
      <c r="W425" s="23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3"/>
      <c r="T426" s="23"/>
      <c r="U426" s="23"/>
      <c r="V426" s="23"/>
      <c r="W426" s="23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3"/>
      <c r="T427" s="23"/>
      <c r="U427" s="23"/>
      <c r="V427" s="23"/>
      <c r="W427" s="23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3"/>
      <c r="T428" s="23"/>
      <c r="U428" s="23"/>
      <c r="V428" s="23"/>
      <c r="W428" s="23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3"/>
      <c r="T429" s="23"/>
      <c r="U429" s="23"/>
      <c r="V429" s="23"/>
      <c r="W429" s="23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3"/>
      <c r="T430" s="23"/>
      <c r="U430" s="23"/>
      <c r="V430" s="23"/>
      <c r="W430" s="23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3"/>
      <c r="T431" s="23"/>
      <c r="U431" s="23"/>
      <c r="V431" s="23"/>
      <c r="W431" s="23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3"/>
      <c r="T432" s="23"/>
      <c r="U432" s="23"/>
      <c r="V432" s="23"/>
      <c r="W432" s="23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3"/>
      <c r="T433" s="23"/>
      <c r="U433" s="23"/>
      <c r="V433" s="23"/>
      <c r="W433" s="23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3"/>
      <c r="T434" s="23"/>
      <c r="U434" s="23"/>
      <c r="V434" s="23"/>
      <c r="W434" s="23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3"/>
      <c r="T435" s="23"/>
      <c r="U435" s="23"/>
      <c r="V435" s="23"/>
      <c r="W435" s="23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3"/>
      <c r="T436" s="23"/>
      <c r="U436" s="23"/>
      <c r="V436" s="23"/>
      <c r="W436" s="23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3"/>
      <c r="T437" s="23"/>
      <c r="U437" s="23"/>
      <c r="V437" s="23"/>
      <c r="W437" s="23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3"/>
      <c r="T438" s="23"/>
      <c r="U438" s="23"/>
      <c r="V438" s="23"/>
      <c r="W438" s="23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3"/>
      <c r="T439" s="23"/>
      <c r="U439" s="23"/>
      <c r="V439" s="23"/>
      <c r="W439" s="23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3"/>
      <c r="T440" s="23"/>
      <c r="U440" s="23"/>
      <c r="V440" s="23"/>
      <c r="W440" s="23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3"/>
      <c r="T441" s="23"/>
      <c r="U441" s="23"/>
      <c r="V441" s="23"/>
      <c r="W441" s="23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3"/>
      <c r="T442" s="23"/>
      <c r="U442" s="23"/>
      <c r="V442" s="23"/>
      <c r="W442" s="23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3"/>
      <c r="T443" s="23"/>
      <c r="U443" s="23"/>
      <c r="V443" s="23"/>
      <c r="W443" s="23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3"/>
      <c r="T444" s="23"/>
      <c r="U444" s="23"/>
      <c r="V444" s="23"/>
      <c r="W444" s="23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3"/>
      <c r="T445" s="23"/>
      <c r="U445" s="23"/>
      <c r="V445" s="23"/>
      <c r="W445" s="23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3"/>
      <c r="T446" s="23"/>
      <c r="U446" s="23"/>
      <c r="V446" s="23"/>
      <c r="W446" s="23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3"/>
      <c r="T447" s="23"/>
      <c r="U447" s="23"/>
      <c r="V447" s="23"/>
      <c r="W447" s="23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3"/>
      <c r="T448" s="23"/>
      <c r="U448" s="23"/>
      <c r="V448" s="23"/>
      <c r="W448" s="23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3"/>
      <c r="T449" s="23"/>
      <c r="U449" s="23"/>
      <c r="V449" s="23"/>
      <c r="W449" s="23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3"/>
      <c r="T450" s="23"/>
      <c r="U450" s="23"/>
      <c r="V450" s="23"/>
      <c r="W450" s="23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3"/>
      <c r="T451" s="23"/>
      <c r="U451" s="23"/>
      <c r="V451" s="23"/>
      <c r="W451" s="23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3"/>
      <c r="T452" s="23"/>
      <c r="U452" s="23"/>
      <c r="V452" s="23"/>
      <c r="W452" s="23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3"/>
      <c r="T453" s="23"/>
      <c r="U453" s="23"/>
      <c r="V453" s="23"/>
      <c r="W453" s="23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3"/>
      <c r="T454" s="23"/>
      <c r="U454" s="23"/>
      <c r="V454" s="23"/>
      <c r="W454" s="23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3"/>
      <c r="T455" s="23"/>
      <c r="U455" s="23"/>
      <c r="V455" s="23"/>
      <c r="W455" s="23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3"/>
      <c r="T456" s="23"/>
      <c r="U456" s="23"/>
      <c r="V456" s="23"/>
      <c r="W456" s="23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3"/>
      <c r="T457" s="23"/>
      <c r="U457" s="23"/>
      <c r="V457" s="23"/>
      <c r="W457" s="23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3"/>
      <c r="T458" s="23"/>
      <c r="U458" s="23"/>
      <c r="V458" s="23"/>
      <c r="W458" s="23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3"/>
      <c r="T459" s="23"/>
      <c r="U459" s="23"/>
      <c r="V459" s="23"/>
      <c r="W459" s="23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3"/>
      <c r="T460" s="23"/>
      <c r="U460" s="23"/>
      <c r="V460" s="23"/>
      <c r="W460" s="23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3"/>
      <c r="T461" s="23"/>
      <c r="U461" s="23"/>
      <c r="V461" s="23"/>
      <c r="W461" s="23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3"/>
      <c r="T462" s="23"/>
      <c r="U462" s="23"/>
      <c r="V462" s="23"/>
      <c r="W462" s="23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3"/>
      <c r="T463" s="23"/>
      <c r="U463" s="23"/>
      <c r="V463" s="23"/>
      <c r="W463" s="23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3"/>
      <c r="T464" s="23"/>
      <c r="U464" s="23"/>
      <c r="V464" s="23"/>
      <c r="W464" s="23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3"/>
      <c r="T465" s="23"/>
      <c r="U465" s="23"/>
      <c r="V465" s="23"/>
      <c r="W465" s="23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3"/>
      <c r="T466" s="23"/>
      <c r="U466" s="23"/>
      <c r="V466" s="23"/>
      <c r="W466" s="23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3"/>
      <c r="T467" s="23"/>
      <c r="U467" s="23"/>
      <c r="V467" s="23"/>
      <c r="W467" s="23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3"/>
      <c r="T468" s="23"/>
      <c r="U468" s="23"/>
      <c r="V468" s="23"/>
      <c r="W468" s="23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3"/>
      <c r="T469" s="23"/>
      <c r="U469" s="23"/>
      <c r="V469" s="23"/>
      <c r="W469" s="23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3"/>
      <c r="T470" s="23"/>
      <c r="U470" s="23"/>
      <c r="V470" s="23"/>
      <c r="W470" s="23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3"/>
      <c r="T471" s="23"/>
      <c r="U471" s="23"/>
      <c r="V471" s="23"/>
      <c r="W471" s="23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3"/>
      <c r="T472" s="23"/>
      <c r="U472" s="23"/>
      <c r="V472" s="23"/>
      <c r="W472" s="23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3"/>
      <c r="T473" s="23"/>
      <c r="U473" s="23"/>
      <c r="V473" s="23"/>
      <c r="W473" s="23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3"/>
      <c r="T474" s="23"/>
      <c r="U474" s="23"/>
      <c r="V474" s="23"/>
      <c r="W474" s="23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3"/>
      <c r="T475" s="23"/>
      <c r="U475" s="23"/>
      <c r="V475" s="23"/>
      <c r="W475" s="23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3"/>
      <c r="T476" s="23"/>
      <c r="U476" s="23"/>
      <c r="V476" s="23"/>
      <c r="W476" s="23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3"/>
      <c r="T477" s="23"/>
      <c r="U477" s="23"/>
      <c r="V477" s="23"/>
      <c r="W477" s="23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3"/>
      <c r="T478" s="23"/>
      <c r="U478" s="23"/>
      <c r="V478" s="23"/>
      <c r="W478" s="23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3"/>
      <c r="T479" s="23"/>
      <c r="U479" s="23"/>
      <c r="V479" s="23"/>
      <c r="W479" s="23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3"/>
      <c r="T480" s="23"/>
      <c r="U480" s="23"/>
      <c r="V480" s="23"/>
      <c r="W480" s="23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3"/>
      <c r="T481" s="23"/>
      <c r="U481" s="23"/>
      <c r="V481" s="23"/>
      <c r="W481" s="23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3"/>
      <c r="T482" s="23"/>
      <c r="U482" s="23"/>
      <c r="V482" s="23"/>
      <c r="W482" s="23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3"/>
      <c r="T483" s="23"/>
      <c r="U483" s="23"/>
      <c r="V483" s="23"/>
      <c r="W483" s="23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3"/>
      <c r="T484" s="23"/>
      <c r="U484" s="23"/>
      <c r="V484" s="23"/>
      <c r="W484" s="23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3"/>
      <c r="T485" s="23"/>
      <c r="U485" s="23"/>
      <c r="V485" s="23"/>
      <c r="W485" s="23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3"/>
      <c r="T486" s="23"/>
      <c r="U486" s="23"/>
      <c r="V486" s="23"/>
      <c r="W486" s="23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3"/>
      <c r="T487" s="23"/>
      <c r="U487" s="23"/>
      <c r="V487" s="23"/>
      <c r="W487" s="23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3"/>
      <c r="T488" s="23"/>
      <c r="U488" s="23"/>
      <c r="V488" s="23"/>
      <c r="W488" s="23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3"/>
      <c r="T489" s="23"/>
      <c r="U489" s="23"/>
      <c r="V489" s="23"/>
      <c r="W489" s="23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3"/>
      <c r="T490" s="23"/>
      <c r="U490" s="23"/>
      <c r="V490" s="23"/>
      <c r="W490" s="23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3"/>
      <c r="T491" s="23"/>
      <c r="U491" s="23"/>
      <c r="V491" s="23"/>
      <c r="W491" s="23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3"/>
      <c r="T492" s="23"/>
      <c r="U492" s="23"/>
      <c r="V492" s="23"/>
      <c r="W492" s="23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3"/>
      <c r="T493" s="23"/>
      <c r="U493" s="23"/>
      <c r="V493" s="23"/>
      <c r="W493" s="23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3"/>
      <c r="T494" s="23"/>
      <c r="U494" s="23"/>
      <c r="V494" s="23"/>
      <c r="W494" s="23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3"/>
      <c r="T495" s="23"/>
      <c r="U495" s="23"/>
      <c r="V495" s="23"/>
      <c r="W495" s="23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3"/>
      <c r="T496" s="23"/>
      <c r="U496" s="23"/>
      <c r="V496" s="23"/>
      <c r="W496" s="23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3"/>
      <c r="T497" s="23"/>
      <c r="U497" s="23"/>
      <c r="V497" s="23"/>
      <c r="W497" s="23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3"/>
      <c r="T498" s="23"/>
      <c r="U498" s="23"/>
      <c r="V498" s="23"/>
      <c r="W498" s="23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3"/>
      <c r="T499" s="23"/>
      <c r="U499" s="23"/>
      <c r="V499" s="23"/>
      <c r="W499" s="23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3"/>
      <c r="T500" s="23"/>
      <c r="U500" s="23"/>
      <c r="V500" s="23"/>
      <c r="W500" s="23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3"/>
      <c r="T501" s="23"/>
      <c r="U501" s="23"/>
      <c r="V501" s="23"/>
      <c r="W501" s="23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3"/>
      <c r="T502" s="23"/>
      <c r="U502" s="23"/>
      <c r="V502" s="23"/>
      <c r="W502" s="23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3"/>
      <c r="T503" s="23"/>
      <c r="U503" s="23"/>
      <c r="V503" s="23"/>
      <c r="W503" s="23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3"/>
      <c r="T504" s="23"/>
      <c r="U504" s="23"/>
      <c r="V504" s="23"/>
      <c r="W504" s="23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3"/>
      <c r="T505" s="23"/>
      <c r="U505" s="23"/>
      <c r="V505" s="23"/>
      <c r="W505" s="23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3"/>
      <c r="T506" s="23"/>
      <c r="U506" s="23"/>
      <c r="V506" s="23"/>
      <c r="W506" s="23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356</v>
      </c>
      <c r="B1" s="2"/>
      <c r="C1" s="2"/>
      <c r="D1" s="2"/>
      <c r="E1" s="2"/>
      <c r="F1" s="2"/>
      <c r="G1" s="2"/>
      <c r="H1" s="2"/>
      <c r="I1" s="2"/>
      <c r="J1" s="2"/>
      <c r="K1" s="10" t="s">
        <v>554</v>
      </c>
      <c r="L1" s="11"/>
      <c r="M1" s="11"/>
      <c r="N1" s="11"/>
      <c r="O1" s="11"/>
      <c r="P1" s="11"/>
      <c r="Q1" s="11"/>
      <c r="R1" s="15"/>
    </row>
    <row r="2" ht="45" spans="1:18">
      <c r="A2" s="3" t="s">
        <v>358</v>
      </c>
      <c r="B2" s="4" t="s">
        <v>359</v>
      </c>
      <c r="C2" s="4" t="s">
        <v>360</v>
      </c>
      <c r="D2" s="4" t="s">
        <v>361</v>
      </c>
      <c r="E2" s="4" t="s">
        <v>362</v>
      </c>
      <c r="F2" s="4" t="s">
        <v>363</v>
      </c>
      <c r="G2" s="4" t="s">
        <v>364</v>
      </c>
      <c r="H2" s="4" t="s">
        <v>365</v>
      </c>
      <c r="I2" s="4" t="s">
        <v>366</v>
      </c>
      <c r="J2" s="4" t="s">
        <v>367</v>
      </c>
      <c r="K2" s="12" t="s">
        <v>368</v>
      </c>
      <c r="L2" s="12" t="s">
        <v>369</v>
      </c>
      <c r="M2" s="12" t="s">
        <v>370</v>
      </c>
      <c r="N2" s="12" t="s">
        <v>371</v>
      </c>
      <c r="O2" s="12" t="s">
        <v>372</v>
      </c>
      <c r="P2" s="12" t="s">
        <v>373</v>
      </c>
      <c r="Q2" s="12" t="s">
        <v>374</v>
      </c>
      <c r="R2" s="12" t="s">
        <v>375</v>
      </c>
    </row>
    <row r="3" ht="20.25" spans="1:18">
      <c r="A3" s="5" t="s">
        <v>555</v>
      </c>
      <c r="B3" s="5" t="s">
        <v>556</v>
      </c>
      <c r="C3" s="5">
        <v>20005.125</v>
      </c>
      <c r="D3" s="5">
        <v>21541.789</v>
      </c>
      <c r="E3" s="5">
        <v>1</v>
      </c>
      <c r="F3" s="6">
        <v>0</v>
      </c>
      <c r="G3" s="6">
        <v>0</v>
      </c>
      <c r="H3" s="6">
        <v>1</v>
      </c>
      <c r="I3" s="6">
        <v>0.084</v>
      </c>
      <c r="J3" s="6">
        <v>7.212</v>
      </c>
      <c r="K3" s="13">
        <v>3</v>
      </c>
      <c r="L3" s="13">
        <v>1</v>
      </c>
      <c r="M3" s="13">
        <v>0</v>
      </c>
      <c r="N3" s="13">
        <v>-1</v>
      </c>
      <c r="O3" s="13">
        <v>0</v>
      </c>
      <c r="P3" s="13">
        <v>-12.351</v>
      </c>
      <c r="Q3" s="13">
        <v>0</v>
      </c>
      <c r="R3" s="13">
        <v>-1</v>
      </c>
    </row>
    <row r="4" ht="20.25" spans="1:18">
      <c r="A4" s="7" t="s">
        <v>557</v>
      </c>
      <c r="B4" s="7" t="s">
        <v>558</v>
      </c>
      <c r="C4" s="7">
        <v>10613.016</v>
      </c>
      <c r="D4" s="7">
        <v>15168.887</v>
      </c>
      <c r="E4" s="7">
        <v>0</v>
      </c>
      <c r="F4" s="7">
        <v>0</v>
      </c>
      <c r="G4" s="7">
        <v>0</v>
      </c>
      <c r="H4" s="7">
        <v>1</v>
      </c>
      <c r="I4" s="9">
        <v>15.47</v>
      </c>
      <c r="J4" s="9">
        <v>40.858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-31.588</v>
      </c>
      <c r="Q4" s="13">
        <v>0</v>
      </c>
      <c r="R4" s="13">
        <v>0</v>
      </c>
    </row>
    <row r="5" ht="20.25" spans="1:18">
      <c r="A5" s="7" t="s">
        <v>559</v>
      </c>
      <c r="B5" s="7" t="s">
        <v>560</v>
      </c>
      <c r="C5" s="7">
        <v>2893.887</v>
      </c>
      <c r="D5" s="7">
        <v>3905.697</v>
      </c>
      <c r="E5" s="7">
        <v>0</v>
      </c>
      <c r="F5" s="7">
        <v>0</v>
      </c>
      <c r="G5" s="7">
        <v>0</v>
      </c>
      <c r="H5" s="7">
        <v>1</v>
      </c>
      <c r="I5" s="9">
        <v>11.093</v>
      </c>
      <c r="J5" s="9">
        <v>34.125</v>
      </c>
      <c r="K5" s="13">
        <v>3</v>
      </c>
      <c r="L5" s="13">
        <v>0</v>
      </c>
      <c r="M5" s="13">
        <v>0</v>
      </c>
      <c r="N5" s="13">
        <v>-1</v>
      </c>
      <c r="O5" s="13">
        <v>0</v>
      </c>
      <c r="P5" s="13">
        <v>-14.203</v>
      </c>
      <c r="Q5" s="13">
        <v>0</v>
      </c>
      <c r="R5" s="13">
        <v>0</v>
      </c>
    </row>
    <row r="6" ht="20.25" spans="1:18">
      <c r="A6" s="7" t="s">
        <v>561</v>
      </c>
      <c r="B6" s="7" t="s">
        <v>562</v>
      </c>
      <c r="C6" s="7">
        <v>2362.982</v>
      </c>
      <c r="D6" s="7">
        <v>3843.375</v>
      </c>
      <c r="E6" s="7">
        <v>0</v>
      </c>
      <c r="F6" s="7">
        <v>0</v>
      </c>
      <c r="G6" s="7">
        <v>0</v>
      </c>
      <c r="H6" s="7">
        <v>1</v>
      </c>
      <c r="I6" s="9">
        <v>15.734</v>
      </c>
      <c r="J6" s="9">
        <v>48.192</v>
      </c>
      <c r="K6" s="13">
        <v>3</v>
      </c>
      <c r="L6" s="13">
        <v>0</v>
      </c>
      <c r="M6" s="13">
        <v>0</v>
      </c>
      <c r="N6" s="13">
        <v>-1</v>
      </c>
      <c r="O6" s="13">
        <v>0</v>
      </c>
      <c r="P6" s="13">
        <v>6.524</v>
      </c>
      <c r="Q6" s="13">
        <v>0</v>
      </c>
      <c r="R6" s="13">
        <v>0</v>
      </c>
    </row>
    <row r="7" ht="20.25" spans="1:18">
      <c r="A7" s="7" t="s">
        <v>563</v>
      </c>
      <c r="B7" s="7" t="s">
        <v>564</v>
      </c>
      <c r="C7" s="7">
        <v>5454.674</v>
      </c>
      <c r="D7" s="7">
        <v>7636.813</v>
      </c>
      <c r="E7" s="7">
        <v>0</v>
      </c>
      <c r="F7" s="7">
        <v>0</v>
      </c>
      <c r="G7" s="7">
        <v>0</v>
      </c>
      <c r="H7" s="7">
        <v>1</v>
      </c>
      <c r="I7" s="6">
        <v>14.882</v>
      </c>
      <c r="J7" s="6">
        <v>39.203</v>
      </c>
      <c r="K7" s="13">
        <v>2</v>
      </c>
      <c r="L7" s="13">
        <v>0</v>
      </c>
      <c r="M7" s="13">
        <v>0</v>
      </c>
      <c r="N7" s="13">
        <v>0</v>
      </c>
      <c r="O7" s="13">
        <v>0</v>
      </c>
      <c r="P7" s="13">
        <v>-33.9</v>
      </c>
      <c r="Q7" s="13">
        <v>0</v>
      </c>
      <c r="R7" s="13">
        <v>0</v>
      </c>
    </row>
    <row r="8" ht="20.25" spans="1:18">
      <c r="A8" s="7" t="s">
        <v>565</v>
      </c>
      <c r="B8" s="7" t="s">
        <v>566</v>
      </c>
      <c r="C8" s="7">
        <v>2530.564</v>
      </c>
      <c r="D8" s="7">
        <v>2723.313</v>
      </c>
      <c r="E8" s="7">
        <v>0</v>
      </c>
      <c r="F8" s="7">
        <v>0</v>
      </c>
      <c r="G8" s="7">
        <v>0</v>
      </c>
      <c r="H8" s="7">
        <v>1</v>
      </c>
      <c r="I8" s="6">
        <v>1.042</v>
      </c>
      <c r="J8" s="6">
        <v>8.046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0.25</v>
      </c>
      <c r="Q8" s="13">
        <v>0</v>
      </c>
      <c r="R8" s="13">
        <v>0</v>
      </c>
    </row>
    <row r="9" ht="20.25" spans="1:18">
      <c r="A9" s="7" t="s">
        <v>567</v>
      </c>
      <c r="B9" s="7" t="s">
        <v>568</v>
      </c>
      <c r="C9" s="7">
        <v>6457.796</v>
      </c>
      <c r="D9" s="7">
        <v>9122.537</v>
      </c>
      <c r="E9" s="7">
        <v>0</v>
      </c>
      <c r="F9" s="7">
        <v>0</v>
      </c>
      <c r="G9" s="7">
        <v>0</v>
      </c>
      <c r="H9" s="7">
        <v>1</v>
      </c>
      <c r="I9" s="6">
        <v>14.567</v>
      </c>
      <c r="J9" s="6">
        <v>39.522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-24.798</v>
      </c>
      <c r="Q9" s="13">
        <v>0</v>
      </c>
      <c r="R9" s="13">
        <v>0</v>
      </c>
    </row>
    <row r="10" ht="20.25" spans="1:18">
      <c r="A10" s="7" t="s">
        <v>569</v>
      </c>
      <c r="B10" s="7" t="s">
        <v>570</v>
      </c>
      <c r="C10" s="7">
        <v>3618.636</v>
      </c>
      <c r="D10" s="7">
        <v>4600.285</v>
      </c>
      <c r="E10" s="7">
        <v>0</v>
      </c>
      <c r="F10" s="7">
        <v>0</v>
      </c>
      <c r="G10" s="7">
        <v>0</v>
      </c>
      <c r="H10" s="7">
        <v>1</v>
      </c>
      <c r="I10" s="6">
        <v>20.479</v>
      </c>
      <c r="J10" s="6">
        <v>37.448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16.374</v>
      </c>
      <c r="Q10" s="13">
        <v>0</v>
      </c>
      <c r="R10" s="13">
        <v>1</v>
      </c>
    </row>
    <row r="11" ht="20.25" spans="1:18">
      <c r="A11" s="7" t="s">
        <v>571</v>
      </c>
      <c r="B11" s="7" t="s">
        <v>572</v>
      </c>
      <c r="C11" s="7">
        <v>1219.128</v>
      </c>
      <c r="D11" s="7">
        <v>1291.183</v>
      </c>
      <c r="E11" s="7">
        <v>0</v>
      </c>
      <c r="F11" s="7">
        <v>0</v>
      </c>
      <c r="G11" s="7">
        <v>0</v>
      </c>
      <c r="H11" s="7">
        <v>1</v>
      </c>
      <c r="I11" s="6">
        <v>2.809</v>
      </c>
      <c r="J11" s="6">
        <v>8.233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-1.522</v>
      </c>
      <c r="Q11" s="13">
        <v>0</v>
      </c>
      <c r="R11" s="13">
        <v>0</v>
      </c>
    </row>
    <row r="12" ht="20.25" spans="1:18">
      <c r="A12" s="7" t="s">
        <v>573</v>
      </c>
      <c r="B12" s="7" t="s">
        <v>574</v>
      </c>
      <c r="C12" s="7">
        <v>6280.278</v>
      </c>
      <c r="D12" s="7">
        <v>7954.837</v>
      </c>
      <c r="E12" s="7">
        <v>0</v>
      </c>
      <c r="F12" s="7">
        <v>0</v>
      </c>
      <c r="G12" s="7">
        <v>0</v>
      </c>
      <c r="H12" s="7">
        <v>1</v>
      </c>
      <c r="I12" s="6">
        <v>13.033</v>
      </c>
      <c r="J12" s="6">
        <v>31.341</v>
      </c>
      <c r="K12" s="13">
        <v>2</v>
      </c>
      <c r="L12" s="13">
        <v>0</v>
      </c>
      <c r="M12" s="13">
        <v>0</v>
      </c>
      <c r="N12" s="13">
        <v>0</v>
      </c>
      <c r="O12" s="13">
        <v>0</v>
      </c>
      <c r="P12" s="13">
        <v>-7.217</v>
      </c>
      <c r="Q12" s="13">
        <v>0</v>
      </c>
      <c r="R12" s="13">
        <v>0</v>
      </c>
    </row>
    <row r="13" ht="20.25" spans="1:18">
      <c r="A13" s="7" t="s">
        <v>575</v>
      </c>
      <c r="B13" s="7" t="s">
        <v>576</v>
      </c>
      <c r="C13" s="7">
        <v>6159.346</v>
      </c>
      <c r="D13" s="7">
        <v>7926.938</v>
      </c>
      <c r="E13" s="7">
        <v>0</v>
      </c>
      <c r="F13" s="7">
        <v>0</v>
      </c>
      <c r="G13" s="7">
        <v>0</v>
      </c>
      <c r="H13" s="7">
        <v>1</v>
      </c>
      <c r="I13" s="6">
        <v>18.119</v>
      </c>
      <c r="J13" s="6">
        <v>36.377</v>
      </c>
      <c r="K13" s="13">
        <v>2</v>
      </c>
      <c r="L13" s="13">
        <v>0</v>
      </c>
      <c r="M13" s="13">
        <v>0</v>
      </c>
      <c r="N13" s="13">
        <v>0</v>
      </c>
      <c r="O13" s="13">
        <v>0</v>
      </c>
      <c r="P13" s="13">
        <v>23.155</v>
      </c>
      <c r="Q13" s="13">
        <v>0</v>
      </c>
      <c r="R13" s="13">
        <v>0</v>
      </c>
    </row>
    <row r="14" ht="20.25" spans="1:18">
      <c r="A14" s="7" t="s">
        <v>577</v>
      </c>
      <c r="B14" s="7" t="s">
        <v>578</v>
      </c>
      <c r="C14" s="7">
        <v>6276</v>
      </c>
      <c r="D14" s="7">
        <v>7944.464</v>
      </c>
      <c r="E14" s="7">
        <v>0</v>
      </c>
      <c r="F14" s="7">
        <v>0</v>
      </c>
      <c r="G14" s="7">
        <v>0</v>
      </c>
      <c r="H14" s="7">
        <v>1</v>
      </c>
      <c r="I14" s="6">
        <v>13.937</v>
      </c>
      <c r="J14" s="6">
        <v>32.012</v>
      </c>
      <c r="K14" s="13">
        <v>2</v>
      </c>
      <c r="L14" s="13">
        <v>1</v>
      </c>
      <c r="M14" s="13">
        <v>0</v>
      </c>
      <c r="N14" s="13">
        <v>0</v>
      </c>
      <c r="O14" s="13">
        <v>0</v>
      </c>
      <c r="P14" s="13">
        <v>19.09</v>
      </c>
      <c r="Q14" s="13">
        <v>0</v>
      </c>
      <c r="R14" s="13">
        <v>0</v>
      </c>
    </row>
    <row r="15" ht="20.25" spans="1:18">
      <c r="A15" s="7" t="s">
        <v>579</v>
      </c>
      <c r="B15" s="7" t="s">
        <v>580</v>
      </c>
      <c r="C15" s="7">
        <v>751.152</v>
      </c>
      <c r="D15" s="7">
        <v>816.84</v>
      </c>
      <c r="E15" s="7">
        <v>0</v>
      </c>
      <c r="F15" s="7">
        <v>0</v>
      </c>
      <c r="G15" s="7">
        <v>0</v>
      </c>
      <c r="H15" s="7">
        <v>1</v>
      </c>
      <c r="I15" s="6">
        <v>3.046</v>
      </c>
      <c r="J15" s="6">
        <v>10.842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1.527</v>
      </c>
      <c r="Q15" s="13">
        <v>0</v>
      </c>
      <c r="R15" s="13">
        <v>0</v>
      </c>
    </row>
    <row r="16" ht="20.25" spans="1:18">
      <c r="A16" s="7" t="s">
        <v>581</v>
      </c>
      <c r="B16" s="7" t="s">
        <v>582</v>
      </c>
      <c r="C16" s="7">
        <v>8347.371</v>
      </c>
      <c r="D16" s="7">
        <v>9642.372</v>
      </c>
      <c r="E16" s="7">
        <v>0</v>
      </c>
      <c r="F16" s="7">
        <v>0</v>
      </c>
      <c r="G16" s="7">
        <v>0</v>
      </c>
      <c r="H16" s="7">
        <v>1</v>
      </c>
      <c r="I16" s="6">
        <v>2.602</v>
      </c>
      <c r="J16" s="6">
        <v>15.683</v>
      </c>
      <c r="K16" s="13">
        <v>3</v>
      </c>
      <c r="L16" s="13">
        <v>0</v>
      </c>
      <c r="M16" s="13">
        <v>0</v>
      </c>
      <c r="N16" s="13">
        <v>-1</v>
      </c>
      <c r="O16" s="13">
        <v>0</v>
      </c>
      <c r="P16" s="13">
        <v>-20.493</v>
      </c>
      <c r="Q16" s="13">
        <v>0</v>
      </c>
      <c r="R16" s="13">
        <v>0</v>
      </c>
    </row>
    <row r="17" ht="20.25" spans="1:18">
      <c r="A17" s="7" t="s">
        <v>583</v>
      </c>
      <c r="B17" s="7" t="s">
        <v>584</v>
      </c>
      <c r="C17" s="7">
        <v>4032.72</v>
      </c>
      <c r="D17" s="7">
        <v>5517.844</v>
      </c>
      <c r="E17" s="7">
        <v>0</v>
      </c>
      <c r="F17" s="7">
        <v>0</v>
      </c>
      <c r="G17" s="7">
        <v>0</v>
      </c>
      <c r="H17" s="7">
        <v>1</v>
      </c>
      <c r="I17" s="6">
        <v>15.37</v>
      </c>
      <c r="J17" s="6">
        <v>38.148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11.656</v>
      </c>
      <c r="Q17" s="13">
        <v>-1</v>
      </c>
      <c r="R17" s="13">
        <v>0</v>
      </c>
    </row>
    <row r="18" ht="20.25" spans="1:18">
      <c r="A18" s="7" t="s">
        <v>585</v>
      </c>
      <c r="B18" s="7" t="s">
        <v>586</v>
      </c>
      <c r="C18" s="7">
        <v>6154.055</v>
      </c>
      <c r="D18" s="7">
        <v>7930.622</v>
      </c>
      <c r="E18" s="7">
        <v>0</v>
      </c>
      <c r="F18" s="7">
        <v>0</v>
      </c>
      <c r="G18" s="7">
        <v>0</v>
      </c>
      <c r="H18" s="7">
        <v>1</v>
      </c>
      <c r="I18" s="6">
        <v>19.017</v>
      </c>
      <c r="J18" s="6">
        <v>37.159</v>
      </c>
      <c r="K18" s="13">
        <v>4</v>
      </c>
      <c r="L18" s="13">
        <v>0</v>
      </c>
      <c r="M18" s="13">
        <v>0</v>
      </c>
      <c r="N18" s="13">
        <v>0</v>
      </c>
      <c r="O18" s="13">
        <v>0</v>
      </c>
      <c r="P18" s="13">
        <v>18.988</v>
      </c>
      <c r="Q18" s="13">
        <v>0</v>
      </c>
      <c r="R18" s="13">
        <v>0</v>
      </c>
    </row>
    <row r="19" ht="20.25" spans="1:18">
      <c r="A19" s="7" t="s">
        <v>587</v>
      </c>
      <c r="B19" s="7" t="s">
        <v>588</v>
      </c>
      <c r="C19" s="7">
        <v>7692.88</v>
      </c>
      <c r="D19" s="7">
        <v>8549.936</v>
      </c>
      <c r="E19" s="7">
        <v>0</v>
      </c>
      <c r="F19" s="7">
        <v>0</v>
      </c>
      <c r="G19" s="7">
        <v>0</v>
      </c>
      <c r="H19" s="7">
        <v>1</v>
      </c>
      <c r="I19" s="6">
        <v>1.68</v>
      </c>
      <c r="J19" s="6">
        <v>11.535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-2.537</v>
      </c>
      <c r="Q19" s="13">
        <v>0</v>
      </c>
      <c r="R19" s="13">
        <v>0</v>
      </c>
    </row>
    <row r="20" ht="20.25" spans="1:18">
      <c r="A20" s="7" t="s">
        <v>589</v>
      </c>
      <c r="B20" s="7" t="s">
        <v>590</v>
      </c>
      <c r="C20" s="7">
        <v>2086.025</v>
      </c>
      <c r="D20" s="7">
        <v>2740.221</v>
      </c>
      <c r="E20" s="7">
        <v>0</v>
      </c>
      <c r="F20" s="7">
        <v>0</v>
      </c>
      <c r="G20" s="7">
        <v>0</v>
      </c>
      <c r="H20" s="7">
        <v>1</v>
      </c>
      <c r="I20" s="6">
        <v>23.5</v>
      </c>
      <c r="J20" s="6">
        <v>41.764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8.421</v>
      </c>
      <c r="Q20" s="13">
        <v>0</v>
      </c>
      <c r="R20" s="13">
        <v>1</v>
      </c>
    </row>
    <row r="21" ht="20.25" spans="1:18">
      <c r="A21" s="7" t="s">
        <v>591</v>
      </c>
      <c r="B21" s="7" t="s">
        <v>592</v>
      </c>
      <c r="C21" s="7">
        <v>6128.869</v>
      </c>
      <c r="D21" s="7">
        <v>7594.791</v>
      </c>
      <c r="E21" s="7">
        <v>0</v>
      </c>
      <c r="F21" s="7">
        <v>0</v>
      </c>
      <c r="G21" s="7">
        <v>0</v>
      </c>
      <c r="H21" s="7">
        <v>1</v>
      </c>
      <c r="I21" s="6">
        <v>11.068</v>
      </c>
      <c r="J21" s="6">
        <v>28.233</v>
      </c>
      <c r="K21" s="13">
        <v>3</v>
      </c>
      <c r="L21" s="13">
        <v>0</v>
      </c>
      <c r="M21" s="13">
        <v>0</v>
      </c>
      <c r="N21" s="13">
        <v>0</v>
      </c>
      <c r="O21" s="13">
        <v>0</v>
      </c>
      <c r="P21" s="13">
        <v>4.136</v>
      </c>
      <c r="Q21" s="13">
        <v>0</v>
      </c>
      <c r="R21" s="13">
        <v>0</v>
      </c>
    </row>
    <row r="22" ht="20.25" spans="1:18">
      <c r="A22" s="7" t="s">
        <v>593</v>
      </c>
      <c r="B22" s="7" t="s">
        <v>594</v>
      </c>
      <c r="C22" s="7">
        <v>5758.71</v>
      </c>
      <c r="D22" s="7">
        <v>7654.219</v>
      </c>
      <c r="E22" s="7">
        <v>0</v>
      </c>
      <c r="F22" s="7">
        <v>0</v>
      </c>
      <c r="G22" s="7">
        <v>0</v>
      </c>
      <c r="H22" s="7">
        <v>1</v>
      </c>
      <c r="I22" s="6">
        <v>18.259</v>
      </c>
      <c r="J22" s="6">
        <v>38.502</v>
      </c>
      <c r="K22" s="13">
        <v>3</v>
      </c>
      <c r="L22" s="13">
        <v>0</v>
      </c>
      <c r="M22" s="13">
        <v>0</v>
      </c>
      <c r="N22" s="13">
        <v>0</v>
      </c>
      <c r="O22" s="13">
        <v>0</v>
      </c>
      <c r="P22" s="13">
        <v>-13.023</v>
      </c>
      <c r="Q22" s="13">
        <v>0</v>
      </c>
      <c r="R22" s="13">
        <v>1</v>
      </c>
    </row>
    <row r="23" ht="20.25" spans="1:18">
      <c r="A23" s="7" t="s">
        <v>595</v>
      </c>
      <c r="B23" s="7" t="s">
        <v>596</v>
      </c>
      <c r="C23" s="7">
        <v>5696.69</v>
      </c>
      <c r="D23" s="7">
        <v>7487.479</v>
      </c>
      <c r="E23" s="7">
        <v>0</v>
      </c>
      <c r="F23" s="7">
        <v>0</v>
      </c>
      <c r="G23" s="7">
        <v>0</v>
      </c>
      <c r="H23" s="7">
        <v>1</v>
      </c>
      <c r="I23" s="6">
        <v>12.119</v>
      </c>
      <c r="J23" s="6">
        <v>33.137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2.259</v>
      </c>
      <c r="Q23" s="13">
        <v>0</v>
      </c>
      <c r="R23" s="13">
        <v>0</v>
      </c>
    </row>
    <row r="24" ht="20.25" spans="1:18">
      <c r="A24" s="7" t="s">
        <v>597</v>
      </c>
      <c r="B24" s="7" t="s">
        <v>598</v>
      </c>
      <c r="C24" s="7">
        <v>6880.648</v>
      </c>
      <c r="D24" s="7">
        <v>8872.372</v>
      </c>
      <c r="E24" s="7">
        <v>0</v>
      </c>
      <c r="F24" s="7">
        <v>0</v>
      </c>
      <c r="G24" s="7">
        <v>0</v>
      </c>
      <c r="H24" s="7">
        <v>1</v>
      </c>
      <c r="I24" s="6">
        <v>9.87</v>
      </c>
      <c r="J24" s="6">
        <v>30.103</v>
      </c>
      <c r="K24" s="13">
        <v>3</v>
      </c>
      <c r="L24" s="13">
        <v>0</v>
      </c>
      <c r="M24" s="13">
        <v>0</v>
      </c>
      <c r="N24" s="13">
        <v>0</v>
      </c>
      <c r="O24" s="13">
        <v>0</v>
      </c>
      <c r="P24" s="13">
        <v>-11.277</v>
      </c>
      <c r="Q24" s="13">
        <v>0</v>
      </c>
      <c r="R24" s="13">
        <v>0</v>
      </c>
    </row>
    <row r="25" ht="20.25" spans="1:18">
      <c r="A25" s="7" t="s">
        <v>599</v>
      </c>
      <c r="B25" s="7" t="s">
        <v>600</v>
      </c>
      <c r="C25" s="7">
        <v>5683.281</v>
      </c>
      <c r="D25" s="7">
        <v>6297.021</v>
      </c>
      <c r="E25" s="7">
        <v>0</v>
      </c>
      <c r="F25" s="7">
        <v>0</v>
      </c>
      <c r="G25" s="7">
        <v>0</v>
      </c>
      <c r="H25" s="7">
        <v>1</v>
      </c>
      <c r="I25" s="6">
        <v>1.486</v>
      </c>
      <c r="J25" s="6">
        <v>11.088</v>
      </c>
      <c r="K25" s="13">
        <v>3</v>
      </c>
      <c r="L25" s="13">
        <v>0</v>
      </c>
      <c r="M25" s="13">
        <v>0</v>
      </c>
      <c r="N25" s="13">
        <v>-1</v>
      </c>
      <c r="O25" s="13">
        <v>0</v>
      </c>
      <c r="P25" s="13">
        <v>-21.492</v>
      </c>
      <c r="Q25" s="13">
        <v>0</v>
      </c>
      <c r="R25" s="13">
        <v>-1</v>
      </c>
    </row>
    <row r="26" ht="20.25" spans="1:18">
      <c r="A26" s="7" t="s">
        <v>601</v>
      </c>
      <c r="B26" s="7" t="s">
        <v>602</v>
      </c>
      <c r="C26" s="7">
        <v>4730.169</v>
      </c>
      <c r="D26" s="7">
        <v>6178.436</v>
      </c>
      <c r="E26" s="7">
        <v>0</v>
      </c>
      <c r="F26" s="7">
        <v>0</v>
      </c>
      <c r="G26" s="7">
        <v>0</v>
      </c>
      <c r="H26" s="7">
        <v>1</v>
      </c>
      <c r="I26" s="6">
        <v>10.066</v>
      </c>
      <c r="J26" s="6">
        <v>31.147</v>
      </c>
      <c r="K26" s="13">
        <v>3</v>
      </c>
      <c r="L26" s="13">
        <v>0</v>
      </c>
      <c r="M26" s="13">
        <v>0</v>
      </c>
      <c r="N26" s="13">
        <v>0</v>
      </c>
      <c r="O26" s="13">
        <v>0</v>
      </c>
      <c r="P26" s="13">
        <v>-5.219</v>
      </c>
      <c r="Q26" s="13">
        <v>0</v>
      </c>
      <c r="R26" s="13">
        <v>0</v>
      </c>
    </row>
    <row r="27" ht="20.25" spans="1:18">
      <c r="A27" s="7" t="s">
        <v>603</v>
      </c>
      <c r="B27" s="7" t="s">
        <v>604</v>
      </c>
      <c r="C27" s="7">
        <v>2856.89</v>
      </c>
      <c r="D27" s="7">
        <v>4593.815</v>
      </c>
      <c r="E27" s="7">
        <v>0</v>
      </c>
      <c r="F27" s="7">
        <v>0</v>
      </c>
      <c r="G27" s="7">
        <v>0</v>
      </c>
      <c r="H27" s="7">
        <v>1</v>
      </c>
      <c r="I27" s="6">
        <v>10.955</v>
      </c>
      <c r="J27" s="6">
        <v>44.623</v>
      </c>
      <c r="K27" s="13">
        <v>3</v>
      </c>
      <c r="L27" s="13">
        <v>0</v>
      </c>
      <c r="M27" s="13">
        <v>0</v>
      </c>
      <c r="N27" s="13">
        <v>-1</v>
      </c>
      <c r="O27" s="13">
        <v>0</v>
      </c>
      <c r="P27" s="13">
        <v>4.659</v>
      </c>
      <c r="Q27" s="13">
        <v>0</v>
      </c>
      <c r="R27" s="13">
        <v>0</v>
      </c>
    </row>
    <row r="28" ht="20.25" spans="1:18">
      <c r="A28" s="7" t="s">
        <v>605</v>
      </c>
      <c r="B28" s="7" t="s">
        <v>606</v>
      </c>
      <c r="C28" s="7">
        <v>12332.823</v>
      </c>
      <c r="D28" s="7">
        <v>14071.307</v>
      </c>
      <c r="E28" s="7">
        <v>0</v>
      </c>
      <c r="F28" s="7">
        <v>0</v>
      </c>
      <c r="G28" s="7">
        <v>0</v>
      </c>
      <c r="H28" s="7">
        <v>1</v>
      </c>
      <c r="I28" s="6">
        <v>0.696</v>
      </c>
      <c r="J28" s="6">
        <v>12.965</v>
      </c>
      <c r="K28" s="14">
        <v>4</v>
      </c>
      <c r="L28" s="13">
        <v>1</v>
      </c>
      <c r="M28" s="13">
        <v>0</v>
      </c>
      <c r="N28" s="13">
        <v>1</v>
      </c>
      <c r="O28" s="13">
        <v>0</v>
      </c>
      <c r="P28" s="13">
        <v>-21.535</v>
      </c>
      <c r="Q28" s="13">
        <v>0</v>
      </c>
      <c r="R28" s="13">
        <v>0</v>
      </c>
    </row>
    <row r="29" ht="20.25" spans="1:18">
      <c r="A29" s="7" t="s">
        <v>607</v>
      </c>
      <c r="B29" s="7" t="s">
        <v>608</v>
      </c>
      <c r="C29" s="7">
        <v>420.141</v>
      </c>
      <c r="D29" s="7">
        <v>641.859</v>
      </c>
      <c r="E29" s="7">
        <v>0</v>
      </c>
      <c r="F29" s="7">
        <v>0</v>
      </c>
      <c r="G29" s="7">
        <v>0</v>
      </c>
      <c r="H29" s="7">
        <v>1</v>
      </c>
      <c r="I29" s="6">
        <v>9.431</v>
      </c>
      <c r="J29" s="6">
        <v>40.717</v>
      </c>
      <c r="K29" s="14">
        <v>0</v>
      </c>
      <c r="L29" s="13">
        <v>0</v>
      </c>
      <c r="M29" s="13">
        <v>0</v>
      </c>
      <c r="N29" s="13">
        <v>-1</v>
      </c>
      <c r="O29" s="13">
        <v>0</v>
      </c>
      <c r="P29" s="13">
        <v>-1.296</v>
      </c>
      <c r="Q29" s="13">
        <v>0</v>
      </c>
      <c r="R29" s="13">
        <v>0</v>
      </c>
    </row>
    <row r="30" ht="20.25" spans="1:18">
      <c r="A30" s="8" t="s">
        <v>609</v>
      </c>
      <c r="B30" s="8" t="s">
        <v>610</v>
      </c>
      <c r="C30" s="8">
        <v>5138.793</v>
      </c>
      <c r="D30" s="8">
        <v>5692.764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4">
        <v>0</v>
      </c>
      <c r="L30" s="13">
        <v>0</v>
      </c>
      <c r="M30" s="13">
        <v>1</v>
      </c>
      <c r="N30" s="13">
        <v>-1</v>
      </c>
      <c r="O30" s="13">
        <v>0</v>
      </c>
      <c r="P30" s="13">
        <v>-7.645</v>
      </c>
      <c r="Q30" s="13">
        <v>0</v>
      </c>
      <c r="R30" s="13">
        <v>0</v>
      </c>
    </row>
    <row r="31" ht="20.25" spans="1:18">
      <c r="A31" s="8" t="s">
        <v>611</v>
      </c>
      <c r="B31" s="8" t="s">
        <v>612</v>
      </c>
      <c r="C31" s="8">
        <v>236.593</v>
      </c>
      <c r="D31" s="8">
        <v>309.617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1</v>
      </c>
      <c r="L31" s="13">
        <v>0</v>
      </c>
      <c r="M31" s="13">
        <v>0</v>
      </c>
      <c r="N31" s="13">
        <v>0</v>
      </c>
      <c r="O31" s="13">
        <v>0</v>
      </c>
      <c r="P31" s="13">
        <v>0.069</v>
      </c>
      <c r="Q31" s="13">
        <v>0</v>
      </c>
      <c r="R31" s="13">
        <v>0</v>
      </c>
    </row>
    <row r="32" ht="20.25" spans="1:18">
      <c r="A32" s="8" t="s">
        <v>613</v>
      </c>
      <c r="B32" s="8" t="s">
        <v>614</v>
      </c>
      <c r="C32" s="8">
        <v>10923.462</v>
      </c>
      <c r="D32" s="8">
        <v>12636.387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3">
        <v>1</v>
      </c>
      <c r="M32" s="13">
        <v>1</v>
      </c>
      <c r="N32" s="13">
        <v>-1</v>
      </c>
      <c r="O32" s="13">
        <v>0</v>
      </c>
      <c r="P32" s="13">
        <v>-12.991</v>
      </c>
      <c r="Q32" s="13">
        <v>0</v>
      </c>
      <c r="R32" s="13">
        <v>0</v>
      </c>
    </row>
    <row r="33" ht="20.25" spans="1:18">
      <c r="A33" s="8" t="s">
        <v>615</v>
      </c>
      <c r="B33" s="8" t="s">
        <v>616</v>
      </c>
      <c r="C33" s="8">
        <v>8624.455</v>
      </c>
      <c r="D33" s="8">
        <v>9645.102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-41.795</v>
      </c>
      <c r="Q33" s="13">
        <v>0</v>
      </c>
      <c r="R33" s="13">
        <v>0</v>
      </c>
    </row>
    <row r="34" ht="20.25" spans="1:18">
      <c r="A34" s="8" t="s">
        <v>617</v>
      </c>
      <c r="B34" s="8" t="s">
        <v>618</v>
      </c>
      <c r="C34" s="8">
        <v>1014.509</v>
      </c>
      <c r="D34" s="8">
        <v>1181.704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0</v>
      </c>
      <c r="L34" s="13">
        <v>1</v>
      </c>
      <c r="M34" s="13">
        <v>1</v>
      </c>
      <c r="N34" s="13">
        <v>-1</v>
      </c>
      <c r="O34" s="13">
        <v>0</v>
      </c>
      <c r="P34" s="13">
        <v>-0.293</v>
      </c>
      <c r="Q34" s="13">
        <v>0</v>
      </c>
      <c r="R34" s="13">
        <v>0</v>
      </c>
    </row>
    <row r="35" ht="20.25" spans="1:18">
      <c r="A35" s="8" t="s">
        <v>619</v>
      </c>
      <c r="B35" s="8" t="s">
        <v>620</v>
      </c>
      <c r="C35" s="8">
        <v>2627.982</v>
      </c>
      <c r="D35" s="8">
        <v>3237.309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2</v>
      </c>
      <c r="L35" s="13">
        <v>0</v>
      </c>
      <c r="M35" s="13">
        <v>1</v>
      </c>
      <c r="N35" s="13">
        <v>-1</v>
      </c>
      <c r="O35" s="13">
        <v>0</v>
      </c>
      <c r="P35" s="13">
        <v>7.748</v>
      </c>
      <c r="Q35" s="13">
        <v>0</v>
      </c>
      <c r="R35" s="13">
        <v>0</v>
      </c>
    </row>
    <row r="36" ht="20.25" spans="1:18">
      <c r="A36" s="8" t="s">
        <v>621</v>
      </c>
      <c r="B36" s="8" t="s">
        <v>622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623</v>
      </c>
      <c r="B37" s="8" t="s">
        <v>624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8" t="s">
        <v>625</v>
      </c>
      <c r="B38" s="8" t="s">
        <v>626</v>
      </c>
      <c r="C38" s="8">
        <v>2867.272</v>
      </c>
      <c r="D38" s="8">
        <v>3152.159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-1.827</v>
      </c>
      <c r="Q38" s="13">
        <v>0</v>
      </c>
      <c r="R38" s="13">
        <v>0</v>
      </c>
    </row>
    <row r="39" ht="20.25" spans="1:18">
      <c r="A39" s="8" t="s">
        <v>627</v>
      </c>
      <c r="B39" s="8" t="s">
        <v>628</v>
      </c>
      <c r="C39" s="8">
        <v>42602.91</v>
      </c>
      <c r="D39" s="8">
        <v>61337.363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0</v>
      </c>
      <c r="L39" s="13">
        <v>2</v>
      </c>
      <c r="M39" s="13">
        <v>1</v>
      </c>
      <c r="N39" s="13">
        <v>-1</v>
      </c>
      <c r="O39" s="13">
        <v>0</v>
      </c>
      <c r="P39" s="13">
        <v>-94.622</v>
      </c>
      <c r="Q39" s="13">
        <v>0</v>
      </c>
      <c r="R39" s="13">
        <v>0</v>
      </c>
    </row>
    <row r="40" ht="20.25" spans="1:18">
      <c r="A40" s="9" t="s">
        <v>629</v>
      </c>
      <c r="B40" s="9" t="s">
        <v>630</v>
      </c>
      <c r="C40" s="9">
        <v>20823.328</v>
      </c>
      <c r="D40" s="9">
        <v>24352.098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11.709</v>
      </c>
      <c r="K40" s="14">
        <v>3</v>
      </c>
      <c r="L40" s="13">
        <v>0</v>
      </c>
      <c r="M40" s="13">
        <v>0</v>
      </c>
      <c r="N40" s="13">
        <v>0</v>
      </c>
      <c r="O40" s="13">
        <v>0</v>
      </c>
      <c r="P40" s="13">
        <v>-28.691</v>
      </c>
      <c r="Q40" s="13">
        <v>0</v>
      </c>
      <c r="R40" s="13">
        <v>0</v>
      </c>
    </row>
    <row r="41" ht="20.25" spans="1:18">
      <c r="A41" s="9" t="s">
        <v>631</v>
      </c>
      <c r="B41" s="9" t="s">
        <v>632</v>
      </c>
      <c r="C41" s="9">
        <v>13055.59</v>
      </c>
      <c r="D41" s="9">
        <v>30461.588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25.656</v>
      </c>
      <c r="K41" s="14">
        <v>2</v>
      </c>
      <c r="L41" s="13">
        <v>0</v>
      </c>
      <c r="M41" s="13">
        <v>0</v>
      </c>
      <c r="N41" s="13">
        <v>0</v>
      </c>
      <c r="O41" s="13">
        <v>0</v>
      </c>
      <c r="P41" s="13">
        <v>5.69</v>
      </c>
      <c r="Q41" s="13">
        <v>0</v>
      </c>
      <c r="R41" s="13">
        <v>0</v>
      </c>
    </row>
    <row r="42" ht="20.25" spans="1:18">
      <c r="A42" s="9" t="s">
        <v>633</v>
      </c>
      <c r="B42" s="9" t="s">
        <v>634</v>
      </c>
      <c r="C42" s="9">
        <v>21958.063</v>
      </c>
      <c r="D42" s="9">
        <v>26158.439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10.485</v>
      </c>
      <c r="K42" s="14">
        <v>3</v>
      </c>
      <c r="L42" s="13">
        <v>0</v>
      </c>
      <c r="M42" s="13">
        <v>0</v>
      </c>
      <c r="N42" s="13">
        <v>0</v>
      </c>
      <c r="O42" s="13">
        <v>0</v>
      </c>
      <c r="P42" s="13">
        <v>-28.748</v>
      </c>
      <c r="Q42" s="13">
        <v>0</v>
      </c>
      <c r="R42" s="13">
        <v>0</v>
      </c>
    </row>
    <row r="43" ht="20.25" spans="1:18">
      <c r="A43" s="9" t="s">
        <v>635</v>
      </c>
      <c r="B43" s="9" t="s">
        <v>636</v>
      </c>
      <c r="C43" s="9">
        <v>2575.4</v>
      </c>
      <c r="D43" s="9">
        <v>3036.884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4.046</v>
      </c>
      <c r="K43" s="14">
        <v>0</v>
      </c>
      <c r="L43" s="13">
        <v>0</v>
      </c>
      <c r="M43" s="13">
        <v>1</v>
      </c>
      <c r="N43" s="13">
        <v>-1</v>
      </c>
      <c r="O43" s="13">
        <v>0</v>
      </c>
      <c r="P43" s="13">
        <v>-2.61</v>
      </c>
      <c r="Q43" s="13">
        <v>0</v>
      </c>
      <c r="R43" s="13">
        <v>0</v>
      </c>
    </row>
    <row r="44" ht="20.25" spans="1:18">
      <c r="A44" s="9" t="s">
        <v>637</v>
      </c>
      <c r="B44" s="9" t="s">
        <v>638</v>
      </c>
      <c r="C44" s="9">
        <v>936.861</v>
      </c>
      <c r="D44" s="9">
        <v>1225.5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9.3</v>
      </c>
      <c r="K44" s="14">
        <v>1</v>
      </c>
      <c r="L44" s="13">
        <v>0</v>
      </c>
      <c r="M44" s="13">
        <v>0</v>
      </c>
      <c r="N44" s="13">
        <v>0</v>
      </c>
      <c r="O44" s="13">
        <v>0</v>
      </c>
      <c r="P44" s="13">
        <v>2.066</v>
      </c>
      <c r="Q44" s="13">
        <v>0</v>
      </c>
      <c r="R44" s="13">
        <v>0</v>
      </c>
    </row>
    <row r="45" ht="20.25" spans="1:18">
      <c r="A45" s="9" t="s">
        <v>639</v>
      </c>
      <c r="B45" s="9" t="s">
        <v>640</v>
      </c>
      <c r="C45" s="9">
        <v>89012.586</v>
      </c>
      <c r="D45" s="9">
        <v>112749.281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7.046</v>
      </c>
      <c r="K45" s="14">
        <v>2</v>
      </c>
      <c r="L45" s="13">
        <v>0</v>
      </c>
      <c r="M45" s="13">
        <v>0</v>
      </c>
      <c r="N45" s="13">
        <v>1</v>
      </c>
      <c r="O45" s="13">
        <v>0</v>
      </c>
      <c r="P45" s="13">
        <v>60.123</v>
      </c>
      <c r="Q45" s="13">
        <v>0</v>
      </c>
      <c r="R45" s="13">
        <v>0</v>
      </c>
    </row>
    <row r="46" ht="20.25" spans="1:18">
      <c r="A46" s="9" t="s">
        <v>641</v>
      </c>
      <c r="B46" s="9" t="s">
        <v>642</v>
      </c>
      <c r="C46" s="9">
        <v>3204.177</v>
      </c>
      <c r="D46" s="9">
        <v>3366.906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2.222</v>
      </c>
      <c r="K46" s="14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-2.424</v>
      </c>
      <c r="Q46" s="13">
        <v>0</v>
      </c>
      <c r="R46" s="13">
        <v>0</v>
      </c>
    </row>
    <row r="47" ht="20.25" spans="1:18">
      <c r="A47" s="9" t="s">
        <v>643</v>
      </c>
      <c r="B47" s="9" t="s">
        <v>644</v>
      </c>
      <c r="C47" s="9">
        <v>116803.055</v>
      </c>
      <c r="D47" s="9">
        <v>153515.313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11.78</v>
      </c>
      <c r="K47" s="14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-126.07</v>
      </c>
      <c r="Q47" s="13">
        <v>0</v>
      </c>
      <c r="R47" s="13">
        <v>0</v>
      </c>
    </row>
    <row r="48" ht="20.25" spans="1:18">
      <c r="A48" s="9" t="s">
        <v>645</v>
      </c>
      <c r="B48" s="9" t="s">
        <v>646</v>
      </c>
      <c r="C48" s="9">
        <v>3968.806</v>
      </c>
      <c r="D48" s="9">
        <v>4324.554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1.224</v>
      </c>
      <c r="K48" s="14">
        <v>0</v>
      </c>
      <c r="L48" s="13">
        <v>0</v>
      </c>
      <c r="M48" s="13">
        <v>1</v>
      </c>
      <c r="N48" s="13">
        <v>-1</v>
      </c>
      <c r="O48" s="13">
        <v>0</v>
      </c>
      <c r="P48" s="13">
        <v>-2.427</v>
      </c>
      <c r="Q48" s="13">
        <v>0</v>
      </c>
      <c r="R48" s="13">
        <v>0</v>
      </c>
    </row>
    <row r="49" ht="20.25" spans="1:18">
      <c r="A49" s="9" t="s">
        <v>647</v>
      </c>
      <c r="B49" s="9" t="s">
        <v>648</v>
      </c>
      <c r="C49" s="9">
        <v>16142.183</v>
      </c>
      <c r="D49" s="9">
        <v>17912.238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3.744</v>
      </c>
      <c r="K49" s="14">
        <v>1</v>
      </c>
      <c r="L49" s="13">
        <v>0</v>
      </c>
      <c r="M49" s="13">
        <v>-1</v>
      </c>
      <c r="N49" s="13">
        <v>1</v>
      </c>
      <c r="O49" s="13">
        <v>0</v>
      </c>
      <c r="P49" s="13">
        <v>4.25</v>
      </c>
      <c r="Q49" s="13">
        <v>0</v>
      </c>
      <c r="R49" s="13">
        <v>0</v>
      </c>
    </row>
    <row r="50" ht="20.25" spans="1:18">
      <c r="A50" s="9" t="s">
        <v>649</v>
      </c>
      <c r="B50" s="9" t="s">
        <v>650</v>
      </c>
      <c r="C50" s="9">
        <v>3039.766</v>
      </c>
      <c r="D50" s="9">
        <v>3222.611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2.164</v>
      </c>
      <c r="K50" s="14">
        <v>0</v>
      </c>
      <c r="L50" s="13">
        <v>0</v>
      </c>
      <c r="M50" s="13">
        <v>1</v>
      </c>
      <c r="N50" s="13">
        <v>-1</v>
      </c>
      <c r="O50" s="13">
        <v>0</v>
      </c>
      <c r="P50" s="13">
        <v>-3.196</v>
      </c>
      <c r="Q50" s="13">
        <v>0</v>
      </c>
      <c r="R50" s="13">
        <v>0</v>
      </c>
    </row>
    <row r="51" ht="20.25" spans="1:18">
      <c r="A51" s="9" t="s">
        <v>651</v>
      </c>
      <c r="B51" s="9" t="s">
        <v>652</v>
      </c>
      <c r="C51" s="9">
        <v>15055.19</v>
      </c>
      <c r="D51" s="9">
        <v>17177.363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10.916</v>
      </c>
      <c r="K51" s="14">
        <v>2</v>
      </c>
      <c r="L51" s="13">
        <v>0</v>
      </c>
      <c r="M51" s="13">
        <v>0</v>
      </c>
      <c r="N51" s="13">
        <v>0</v>
      </c>
      <c r="O51" s="13">
        <v>0</v>
      </c>
      <c r="P51" s="13">
        <v>-3.943</v>
      </c>
      <c r="Q51" s="13">
        <v>0</v>
      </c>
      <c r="R51" s="13">
        <v>0</v>
      </c>
    </row>
    <row r="52" ht="20.25" spans="1:18">
      <c r="A52" s="9" t="s">
        <v>653</v>
      </c>
      <c r="B52" s="9" t="s">
        <v>654</v>
      </c>
      <c r="C52" s="9">
        <v>304658.625</v>
      </c>
      <c r="D52" s="9">
        <v>465644.031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16.194</v>
      </c>
      <c r="K52" s="14">
        <v>3</v>
      </c>
      <c r="L52" s="13">
        <v>0</v>
      </c>
      <c r="M52" s="13">
        <v>0</v>
      </c>
      <c r="N52" s="13">
        <v>0</v>
      </c>
      <c r="O52" s="13">
        <v>0</v>
      </c>
      <c r="P52" s="13">
        <v>-100.795</v>
      </c>
      <c r="Q52" s="13">
        <v>0</v>
      </c>
      <c r="R52" s="13">
        <v>0</v>
      </c>
    </row>
    <row r="53" ht="20.25" spans="1:18">
      <c r="A53" s="9" t="s">
        <v>655</v>
      </c>
      <c r="B53" s="9" t="s">
        <v>656</v>
      </c>
      <c r="C53" s="9">
        <v>12719.482</v>
      </c>
      <c r="D53" s="9">
        <v>15016.258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9.951</v>
      </c>
      <c r="K53" s="14">
        <v>2</v>
      </c>
      <c r="L53" s="13">
        <v>0</v>
      </c>
      <c r="M53" s="13">
        <v>0</v>
      </c>
      <c r="N53" s="13">
        <v>0</v>
      </c>
      <c r="O53" s="13">
        <v>0</v>
      </c>
      <c r="P53" s="13">
        <v>-3.019</v>
      </c>
      <c r="Q53" s="13">
        <v>0</v>
      </c>
      <c r="R53" s="13">
        <v>0</v>
      </c>
    </row>
    <row r="54" ht="20.25" spans="1:18">
      <c r="A54" s="9" t="s">
        <v>657</v>
      </c>
      <c r="B54" s="9" t="s">
        <v>658</v>
      </c>
      <c r="C54" s="9">
        <v>3069.206</v>
      </c>
      <c r="D54" s="9">
        <v>3543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7.106</v>
      </c>
      <c r="K54" s="14">
        <v>3</v>
      </c>
      <c r="L54" s="13">
        <v>0</v>
      </c>
      <c r="M54" s="13">
        <v>0</v>
      </c>
      <c r="N54" s="13">
        <v>0</v>
      </c>
      <c r="O54" s="13">
        <v>0</v>
      </c>
      <c r="P54" s="13">
        <v>-0.334</v>
      </c>
      <c r="Q54" s="13">
        <v>0</v>
      </c>
      <c r="R54" s="13">
        <v>0</v>
      </c>
    </row>
    <row r="55" ht="20.25" spans="1:18">
      <c r="A55" s="9" t="s">
        <v>659</v>
      </c>
      <c r="B55" s="9" t="s">
        <v>660</v>
      </c>
      <c r="C55" s="9">
        <v>22528.463</v>
      </c>
      <c r="D55" s="9">
        <v>26738.973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5.362</v>
      </c>
      <c r="K55" s="14">
        <v>2</v>
      </c>
      <c r="L55" s="13">
        <v>0</v>
      </c>
      <c r="M55" s="13">
        <v>0</v>
      </c>
      <c r="N55" s="13">
        <v>0</v>
      </c>
      <c r="O55" s="13">
        <v>0</v>
      </c>
      <c r="P55" s="13">
        <v>-6.78</v>
      </c>
      <c r="Q55" s="13">
        <v>0</v>
      </c>
      <c r="R55" s="13">
        <v>0</v>
      </c>
    </row>
    <row r="56" ht="20.25" spans="1:18">
      <c r="A56" s="9" t="s">
        <v>661</v>
      </c>
      <c r="B56" s="9" t="s">
        <v>662</v>
      </c>
      <c r="C56" s="9">
        <v>4098.417</v>
      </c>
      <c r="D56" s="9">
        <v>4717.291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11.558</v>
      </c>
      <c r="K56" s="14">
        <v>3</v>
      </c>
      <c r="L56" s="13">
        <v>0</v>
      </c>
      <c r="M56" s="13">
        <v>0</v>
      </c>
      <c r="N56" s="13">
        <v>0</v>
      </c>
      <c r="O56" s="13">
        <v>0</v>
      </c>
      <c r="P56" s="13">
        <v>10.438</v>
      </c>
      <c r="Q56" s="13">
        <v>0</v>
      </c>
      <c r="R56" s="13">
        <v>1</v>
      </c>
    </row>
    <row r="57" ht="20.25" spans="1:18">
      <c r="A57" s="6" t="s">
        <v>663</v>
      </c>
      <c r="B57" s="6" t="s">
        <v>664</v>
      </c>
      <c r="C57" s="6">
        <v>3374.978</v>
      </c>
      <c r="D57" s="6">
        <v>3749.036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8.014</v>
      </c>
      <c r="K57" s="14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2.808</v>
      </c>
      <c r="Q57" s="13">
        <v>0</v>
      </c>
      <c r="R57" s="13">
        <v>0</v>
      </c>
    </row>
    <row r="58" ht="20.25" spans="1:18">
      <c r="A58" s="6" t="s">
        <v>665</v>
      </c>
      <c r="B58" s="6" t="s">
        <v>666</v>
      </c>
      <c r="C58" s="6">
        <v>2177.239</v>
      </c>
      <c r="D58" s="6">
        <v>2378.852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7.273</v>
      </c>
      <c r="K58" s="14">
        <v>3</v>
      </c>
      <c r="L58" s="13">
        <v>0</v>
      </c>
      <c r="M58" s="13">
        <v>1</v>
      </c>
      <c r="N58" s="13">
        <v>-1</v>
      </c>
      <c r="O58" s="13">
        <v>0</v>
      </c>
      <c r="P58" s="13">
        <v>1.336</v>
      </c>
      <c r="Q58" s="13">
        <v>0</v>
      </c>
      <c r="R58" s="13">
        <v>0</v>
      </c>
    </row>
    <row r="59" ht="20.25" spans="1:18">
      <c r="A59" s="6" t="s">
        <v>667</v>
      </c>
      <c r="B59" s="6" t="s">
        <v>668</v>
      </c>
      <c r="C59" s="6">
        <v>4546.37</v>
      </c>
      <c r="D59" s="6">
        <v>5567.202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16.041</v>
      </c>
      <c r="K59" s="14">
        <v>1</v>
      </c>
      <c r="L59" s="13">
        <v>2</v>
      </c>
      <c r="M59" s="13">
        <v>1</v>
      </c>
      <c r="N59" s="13">
        <v>-1</v>
      </c>
      <c r="O59" s="13">
        <v>0</v>
      </c>
      <c r="P59" s="13">
        <v>-3.26</v>
      </c>
      <c r="Q59" s="13">
        <v>0</v>
      </c>
      <c r="R59" s="13">
        <v>0</v>
      </c>
    </row>
    <row r="60" ht="20.25" spans="1:18">
      <c r="A60" s="6" t="s">
        <v>669</v>
      </c>
      <c r="B60" s="6" t="s">
        <v>670</v>
      </c>
      <c r="C60" s="6">
        <v>739.119</v>
      </c>
      <c r="D60" s="6">
        <v>831.473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7.087</v>
      </c>
      <c r="K60" s="14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-1.705</v>
      </c>
      <c r="Q60" s="13">
        <v>0</v>
      </c>
      <c r="R60" s="13">
        <v>0</v>
      </c>
    </row>
    <row r="61" ht="20.25" spans="1:18">
      <c r="A61" s="6" t="s">
        <v>671</v>
      </c>
      <c r="B61" s="6" t="s">
        <v>672</v>
      </c>
      <c r="C61" s="6">
        <v>1591.028</v>
      </c>
      <c r="D61" s="6">
        <v>1863.3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5.296</v>
      </c>
      <c r="K61" s="14">
        <v>0</v>
      </c>
      <c r="L61" s="13">
        <v>0</v>
      </c>
      <c r="M61" s="13">
        <v>1</v>
      </c>
      <c r="N61" s="13">
        <v>-1</v>
      </c>
      <c r="O61" s="13">
        <v>0</v>
      </c>
      <c r="P61" s="13">
        <v>2.295</v>
      </c>
      <c r="Q61" s="13">
        <v>0</v>
      </c>
      <c r="R61" s="13">
        <v>0</v>
      </c>
    </row>
    <row r="62" ht="20.25" spans="1:18">
      <c r="A62" s="6" t="s">
        <v>673</v>
      </c>
      <c r="B62" s="6" t="s">
        <v>674</v>
      </c>
      <c r="C62" s="6">
        <v>3268.487</v>
      </c>
      <c r="D62" s="6">
        <v>3580.065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4.178</v>
      </c>
      <c r="K62" s="14">
        <v>3</v>
      </c>
      <c r="L62" s="13">
        <v>0</v>
      </c>
      <c r="M62" s="13">
        <v>0</v>
      </c>
      <c r="N62" s="13">
        <v>0</v>
      </c>
      <c r="O62" s="13">
        <v>0</v>
      </c>
      <c r="P62" s="13">
        <v>-7.473</v>
      </c>
      <c r="Q62" s="13">
        <v>0</v>
      </c>
      <c r="R62" s="13">
        <v>0</v>
      </c>
    </row>
    <row r="63" ht="20.25" spans="1:18">
      <c r="A63" s="6" t="s">
        <v>675</v>
      </c>
      <c r="B63" s="6" t="s">
        <v>676</v>
      </c>
      <c r="C63" s="6">
        <v>1026.327</v>
      </c>
      <c r="D63" s="6">
        <v>1299.949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8.323</v>
      </c>
      <c r="K63" s="14">
        <v>0</v>
      </c>
      <c r="L63" s="13">
        <v>0</v>
      </c>
      <c r="M63" s="13">
        <v>1</v>
      </c>
      <c r="N63" s="13">
        <v>-1</v>
      </c>
      <c r="O63" s="13">
        <v>0</v>
      </c>
      <c r="P63" s="13">
        <v>-1.611</v>
      </c>
      <c r="Q63" s="13">
        <v>0</v>
      </c>
      <c r="R63" s="13">
        <v>0</v>
      </c>
    </row>
    <row r="64" ht="20.25" spans="1:18">
      <c r="A64" s="6" t="s">
        <v>677</v>
      </c>
      <c r="B64" s="6" t="s">
        <v>678</v>
      </c>
      <c r="C64" s="6">
        <v>2710.655</v>
      </c>
      <c r="D64" s="6">
        <v>3003.359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4.923</v>
      </c>
      <c r="K64" s="14">
        <v>0</v>
      </c>
      <c r="L64" s="13">
        <v>0</v>
      </c>
      <c r="M64" s="13">
        <v>1</v>
      </c>
      <c r="N64" s="13">
        <v>-1</v>
      </c>
      <c r="O64" s="13">
        <v>0</v>
      </c>
      <c r="P64" s="13">
        <v>5.008</v>
      </c>
      <c r="Q64" s="13">
        <v>0</v>
      </c>
      <c r="R64" s="13">
        <v>0</v>
      </c>
    </row>
    <row r="65" ht="20.25" spans="1:18">
      <c r="A65" s="6" t="s">
        <v>679</v>
      </c>
      <c r="B65" s="6" t="s">
        <v>680</v>
      </c>
      <c r="C65" s="6">
        <v>3494.612</v>
      </c>
      <c r="D65" s="6">
        <v>3634.151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2.139</v>
      </c>
      <c r="K65" s="14">
        <v>4</v>
      </c>
      <c r="L65" s="13">
        <v>0</v>
      </c>
      <c r="M65" s="13">
        <v>0</v>
      </c>
      <c r="N65" s="13">
        <v>0</v>
      </c>
      <c r="O65" s="13">
        <v>-1</v>
      </c>
      <c r="P65" s="13">
        <v>-2.405</v>
      </c>
      <c r="Q65" s="13">
        <v>0</v>
      </c>
      <c r="R65" s="13">
        <v>0</v>
      </c>
    </row>
    <row r="66" ht="20.25" spans="1:18">
      <c r="A66" s="6" t="s">
        <v>681</v>
      </c>
      <c r="B66" s="6" t="s">
        <v>682</v>
      </c>
      <c r="C66" s="6">
        <v>4503.034</v>
      </c>
      <c r="D66" s="6">
        <v>5531.078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15.878</v>
      </c>
      <c r="K66" s="14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-6.307</v>
      </c>
      <c r="Q66" s="13">
        <v>-1</v>
      </c>
      <c r="R66" s="13">
        <v>0</v>
      </c>
    </row>
    <row r="67" ht="20.25" spans="1:18">
      <c r="A67" s="6" t="s">
        <v>683</v>
      </c>
      <c r="B67" s="6" t="s">
        <v>684</v>
      </c>
      <c r="C67" s="6">
        <v>8958.727</v>
      </c>
      <c r="D67" s="6">
        <v>10424.911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5.886</v>
      </c>
      <c r="K67" s="14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-25.643</v>
      </c>
      <c r="Q67" s="13">
        <v>0</v>
      </c>
      <c r="R67" s="13">
        <v>0</v>
      </c>
    </row>
    <row r="68" ht="20.25" spans="1:18">
      <c r="A68" s="6" t="s">
        <v>685</v>
      </c>
      <c r="B68" s="6" t="s">
        <v>686</v>
      </c>
      <c r="C68" s="6">
        <v>13750.318</v>
      </c>
      <c r="D68" s="6">
        <v>15443.545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9.388</v>
      </c>
      <c r="K68" s="14">
        <v>3</v>
      </c>
      <c r="L68" s="13">
        <v>0</v>
      </c>
      <c r="M68" s="13">
        <v>1</v>
      </c>
      <c r="N68" s="13">
        <v>-1</v>
      </c>
      <c r="O68" s="13">
        <v>0</v>
      </c>
      <c r="P68" s="13">
        <v>-14.328</v>
      </c>
      <c r="Q68" s="13">
        <v>0</v>
      </c>
      <c r="R68" s="13">
        <v>0</v>
      </c>
    </row>
    <row r="69" ht="20.25" spans="1:18">
      <c r="A69" s="6" t="s">
        <v>687</v>
      </c>
      <c r="B69" s="6" t="s">
        <v>688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4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1.476</v>
      </c>
      <c r="Q69" s="13">
        <v>0</v>
      </c>
      <c r="R69" s="13">
        <v>0</v>
      </c>
    </row>
    <row r="70" ht="20.25" spans="1:18">
      <c r="A70" s="6" t="s">
        <v>689</v>
      </c>
      <c r="B70" s="6" t="s">
        <v>690</v>
      </c>
      <c r="C70" s="6">
        <v>8732.509</v>
      </c>
      <c r="D70" s="6">
        <v>9849.736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10.289</v>
      </c>
      <c r="K70" s="14">
        <v>3</v>
      </c>
      <c r="L70" s="13">
        <v>0</v>
      </c>
      <c r="M70" s="13">
        <v>1</v>
      </c>
      <c r="N70" s="13">
        <v>-1</v>
      </c>
      <c r="O70" s="13">
        <v>0</v>
      </c>
      <c r="P70" s="13">
        <v>-12.057</v>
      </c>
      <c r="Q70" s="13">
        <v>0</v>
      </c>
      <c r="R70" s="13">
        <v>0</v>
      </c>
    </row>
    <row r="71" ht="20.25" spans="1:18">
      <c r="A71" s="6" t="s">
        <v>691</v>
      </c>
      <c r="B71" s="6" t="s">
        <v>692</v>
      </c>
      <c r="C71" s="6">
        <v>7678.334</v>
      </c>
      <c r="D71" s="6">
        <v>8160.841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4.948</v>
      </c>
      <c r="K71" s="14">
        <v>3</v>
      </c>
      <c r="L71" s="13">
        <v>0</v>
      </c>
      <c r="M71" s="13">
        <v>0</v>
      </c>
      <c r="N71" s="13">
        <v>0</v>
      </c>
      <c r="O71" s="13">
        <v>0</v>
      </c>
      <c r="P71" s="13">
        <v>-1.553</v>
      </c>
      <c r="Q71" s="13">
        <v>0</v>
      </c>
      <c r="R71" s="13">
        <v>0</v>
      </c>
    </row>
    <row r="72" ht="20.25" spans="1:18">
      <c r="A72" s="6" t="s">
        <v>693</v>
      </c>
      <c r="B72" s="6" t="s">
        <v>694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695</v>
      </c>
      <c r="B73" s="6" t="s">
        <v>696</v>
      </c>
      <c r="C73" s="6">
        <v>2201.002</v>
      </c>
      <c r="D73" s="6">
        <v>2530.287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1.785</v>
      </c>
      <c r="K73" s="14">
        <v>0</v>
      </c>
      <c r="L73" s="13">
        <v>0</v>
      </c>
      <c r="M73" s="13">
        <v>1</v>
      </c>
      <c r="N73" s="13">
        <v>-1</v>
      </c>
      <c r="O73" s="13">
        <v>0</v>
      </c>
      <c r="P73" s="13">
        <v>4.326</v>
      </c>
      <c r="Q73" s="13">
        <v>0</v>
      </c>
      <c r="R73" s="13">
        <v>0</v>
      </c>
    </row>
    <row r="74" ht="20.25" spans="1:18">
      <c r="A74" s="6" t="s">
        <v>697</v>
      </c>
      <c r="B74" s="6" t="s">
        <v>698</v>
      </c>
      <c r="C74" s="6">
        <v>4985.364</v>
      </c>
      <c r="D74" s="6">
        <v>6134.418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8.86</v>
      </c>
      <c r="K74" s="14">
        <v>1</v>
      </c>
      <c r="L74" s="13">
        <v>0</v>
      </c>
      <c r="M74" s="13">
        <v>0</v>
      </c>
      <c r="N74" s="13">
        <v>-1</v>
      </c>
      <c r="O74" s="13">
        <v>0</v>
      </c>
      <c r="P74" s="13">
        <v>-10.322</v>
      </c>
      <c r="Q74" s="13">
        <v>0</v>
      </c>
      <c r="R74" s="13">
        <v>0</v>
      </c>
    </row>
    <row r="75" ht="20.25" spans="1:18">
      <c r="A75" s="6" t="s">
        <v>699</v>
      </c>
      <c r="B75" s="6" t="s">
        <v>700</v>
      </c>
      <c r="C75" s="6">
        <v>1128.969</v>
      </c>
      <c r="D75" s="6">
        <v>1300.854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2.084</v>
      </c>
      <c r="K75" s="14">
        <v>0</v>
      </c>
      <c r="L75" s="13">
        <v>0</v>
      </c>
      <c r="M75" s="13">
        <v>1</v>
      </c>
      <c r="N75" s="13">
        <v>-1</v>
      </c>
      <c r="O75" s="13">
        <v>0</v>
      </c>
      <c r="P75" s="13">
        <v>-0.961</v>
      </c>
      <c r="Q75" s="13">
        <v>0</v>
      </c>
      <c r="R75" s="13">
        <v>0</v>
      </c>
    </row>
    <row r="76" ht="20.25" spans="1:18">
      <c r="A76" s="6" t="s">
        <v>701</v>
      </c>
      <c r="B76" s="6" t="s">
        <v>702</v>
      </c>
      <c r="C76" s="6">
        <v>5386.245</v>
      </c>
      <c r="D76" s="6">
        <v>6017.457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5.934</v>
      </c>
      <c r="K76" s="14">
        <v>0</v>
      </c>
      <c r="L76" s="13">
        <v>0</v>
      </c>
      <c r="M76" s="13">
        <v>0</v>
      </c>
      <c r="N76" s="13">
        <v>-1</v>
      </c>
      <c r="O76" s="13">
        <v>0</v>
      </c>
      <c r="P76" s="13">
        <v>-20.361</v>
      </c>
      <c r="Q76" s="13">
        <v>-1</v>
      </c>
      <c r="R76" s="13">
        <v>0</v>
      </c>
    </row>
    <row r="77" ht="20.25" spans="1:18">
      <c r="A77" s="6" t="s">
        <v>703</v>
      </c>
      <c r="B77" s="6" t="s">
        <v>704</v>
      </c>
      <c r="C77" s="6">
        <v>2055.832</v>
      </c>
      <c r="D77" s="6">
        <v>2616.458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7.27</v>
      </c>
      <c r="K77" s="14">
        <v>0</v>
      </c>
      <c r="L77" s="13">
        <v>1</v>
      </c>
      <c r="M77" s="13">
        <v>1</v>
      </c>
      <c r="N77" s="13">
        <v>-1</v>
      </c>
      <c r="O77" s="13">
        <v>0</v>
      </c>
      <c r="P77" s="13">
        <v>-1.707</v>
      </c>
      <c r="Q77" s="13">
        <v>0</v>
      </c>
      <c r="R77" s="13">
        <v>0</v>
      </c>
    </row>
    <row r="78" ht="20.25" spans="1:18">
      <c r="A78" s="6" t="s">
        <v>705</v>
      </c>
      <c r="B78" s="6" t="s">
        <v>706</v>
      </c>
      <c r="C78" s="6">
        <v>5115.041</v>
      </c>
      <c r="D78" s="6">
        <v>5469.279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3.726</v>
      </c>
      <c r="K78" s="14">
        <v>0</v>
      </c>
      <c r="L78" s="13">
        <v>0</v>
      </c>
      <c r="M78" s="13">
        <v>1</v>
      </c>
      <c r="N78" s="13">
        <v>-1</v>
      </c>
      <c r="O78" s="13">
        <v>0</v>
      </c>
      <c r="P78" s="13">
        <v>-4.393</v>
      </c>
      <c r="Q78" s="13">
        <v>0</v>
      </c>
      <c r="R78" s="13">
        <v>0</v>
      </c>
    </row>
    <row r="79" ht="20.25" spans="1:18">
      <c r="A79" s="6" t="s">
        <v>707</v>
      </c>
      <c r="B79" s="6" t="s">
        <v>708</v>
      </c>
      <c r="C79" s="6">
        <v>1673.391</v>
      </c>
      <c r="D79" s="6">
        <v>1881.618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10.274</v>
      </c>
      <c r="K79" s="14">
        <v>0</v>
      </c>
      <c r="L79" s="13">
        <v>0</v>
      </c>
      <c r="M79" s="13">
        <v>0</v>
      </c>
      <c r="N79" s="13">
        <v>0</v>
      </c>
      <c r="O79" s="13">
        <v>0</v>
      </c>
      <c r="P79" s="13">
        <v>1.553</v>
      </c>
      <c r="Q79" s="13">
        <v>0</v>
      </c>
      <c r="R79" s="13">
        <v>0</v>
      </c>
    </row>
    <row r="80" ht="20.25" spans="1:18">
      <c r="A80" s="6" t="s">
        <v>709</v>
      </c>
      <c r="B80" s="6" t="s">
        <v>710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711</v>
      </c>
      <c r="B81" s="6" t="s">
        <v>712</v>
      </c>
      <c r="C81" s="6">
        <v>6678.111</v>
      </c>
      <c r="D81" s="6">
        <v>8431.086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9.618</v>
      </c>
      <c r="K81" s="14">
        <v>1</v>
      </c>
      <c r="L81" s="13">
        <v>0</v>
      </c>
      <c r="M81" s="13">
        <v>0</v>
      </c>
      <c r="N81" s="13">
        <v>0</v>
      </c>
      <c r="O81" s="13">
        <v>0</v>
      </c>
      <c r="P81" s="13">
        <v>1.174</v>
      </c>
      <c r="Q81" s="13">
        <v>0</v>
      </c>
      <c r="R81" s="13">
        <v>0</v>
      </c>
    </row>
    <row r="82" ht="20.25" spans="1:18">
      <c r="A82" s="6" t="s">
        <v>713</v>
      </c>
      <c r="B82" s="6" t="s">
        <v>714</v>
      </c>
      <c r="C82" s="6">
        <v>4320.529</v>
      </c>
      <c r="D82" s="6">
        <v>4743.523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0.905</v>
      </c>
      <c r="K82" s="14">
        <v>1</v>
      </c>
      <c r="L82" s="13">
        <v>0</v>
      </c>
      <c r="M82" s="13">
        <v>0</v>
      </c>
      <c r="N82" s="13">
        <v>-1</v>
      </c>
      <c r="O82" s="13">
        <v>0</v>
      </c>
      <c r="P82" s="13">
        <v>-3.989</v>
      </c>
      <c r="Q82" s="13">
        <v>0</v>
      </c>
      <c r="R82" s="13">
        <v>0</v>
      </c>
    </row>
    <row r="83" ht="20.25" spans="1:18">
      <c r="A83" s="6" t="s">
        <v>715</v>
      </c>
      <c r="B83" s="6" t="s">
        <v>716</v>
      </c>
      <c r="C83" s="6">
        <v>6769.176</v>
      </c>
      <c r="D83" s="6">
        <v>8278.375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8.234</v>
      </c>
      <c r="K83" s="14">
        <v>1</v>
      </c>
      <c r="L83" s="13">
        <v>1</v>
      </c>
      <c r="M83" s="13">
        <v>0</v>
      </c>
      <c r="N83" s="13">
        <v>0</v>
      </c>
      <c r="O83" s="13">
        <v>0</v>
      </c>
      <c r="P83" s="13">
        <v>4.259</v>
      </c>
      <c r="Q83" s="13">
        <v>0</v>
      </c>
      <c r="R83" s="13">
        <v>0</v>
      </c>
    </row>
    <row r="84" ht="20.25" spans="1:18">
      <c r="A84" s="6" t="s">
        <v>717</v>
      </c>
      <c r="B84" s="6" t="s">
        <v>718</v>
      </c>
      <c r="C84" s="6">
        <v>107.644</v>
      </c>
      <c r="D84" s="6">
        <v>108.698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0.601</v>
      </c>
      <c r="K84" s="14">
        <v>0</v>
      </c>
      <c r="L84" s="13">
        <v>1</v>
      </c>
      <c r="M84" s="13">
        <v>0</v>
      </c>
      <c r="N84" s="13">
        <v>0</v>
      </c>
      <c r="O84" s="13">
        <v>0</v>
      </c>
      <c r="P84" s="13">
        <v>-0.001</v>
      </c>
      <c r="Q84" s="13">
        <v>0</v>
      </c>
      <c r="R84" s="13">
        <v>0</v>
      </c>
    </row>
    <row r="85" ht="20.25" spans="1:18">
      <c r="A85" s="6" t="s">
        <v>719</v>
      </c>
      <c r="B85" s="6" t="s">
        <v>720</v>
      </c>
      <c r="C85" s="6">
        <v>105.598</v>
      </c>
      <c r="D85" s="6">
        <v>106.34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0.375</v>
      </c>
      <c r="K85" s="14">
        <v>1</v>
      </c>
      <c r="L85" s="13">
        <v>2</v>
      </c>
      <c r="M85" s="13">
        <v>0</v>
      </c>
      <c r="N85" s="13">
        <v>0</v>
      </c>
      <c r="O85" s="13">
        <v>0</v>
      </c>
      <c r="P85" s="13">
        <v>-0.01</v>
      </c>
      <c r="Q85" s="13">
        <v>0</v>
      </c>
      <c r="R85" s="13">
        <v>0</v>
      </c>
    </row>
    <row r="86" ht="20.25" spans="1:18">
      <c r="A86" s="6" t="s">
        <v>721</v>
      </c>
      <c r="B86" s="6" t="s">
        <v>722</v>
      </c>
      <c r="C86" s="6">
        <v>110.586</v>
      </c>
      <c r="D86" s="6">
        <v>115.067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0.962</v>
      </c>
      <c r="K86" s="14">
        <v>1</v>
      </c>
      <c r="L86" s="13">
        <v>2</v>
      </c>
      <c r="M86" s="13">
        <v>-1</v>
      </c>
      <c r="N86" s="13">
        <v>0</v>
      </c>
      <c r="O86" s="13">
        <v>0</v>
      </c>
      <c r="P86" s="13">
        <v>0.022</v>
      </c>
      <c r="Q86" s="13">
        <v>0</v>
      </c>
      <c r="R86" s="13">
        <v>0</v>
      </c>
    </row>
    <row r="87" ht="20.25" spans="1:18">
      <c r="A87" s="6" t="s">
        <v>723</v>
      </c>
      <c r="B87" s="6" t="s">
        <v>724</v>
      </c>
      <c r="C87" s="6">
        <v>102.381</v>
      </c>
      <c r="D87" s="6">
        <v>102.634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0.104</v>
      </c>
      <c r="K87" s="14">
        <v>3</v>
      </c>
      <c r="L87" s="13">
        <v>1</v>
      </c>
      <c r="M87" s="13">
        <v>0</v>
      </c>
      <c r="N87" s="13">
        <v>0</v>
      </c>
      <c r="O87" s="13">
        <v>0</v>
      </c>
      <c r="P87" s="13">
        <v>-0.003</v>
      </c>
      <c r="Q87" s="13">
        <v>0</v>
      </c>
      <c r="R87" s="13">
        <v>-1</v>
      </c>
    </row>
    <row r="88" ht="20.25" spans="1:18">
      <c r="A88" s="6" t="s">
        <v>725</v>
      </c>
      <c r="B88" s="6" t="s">
        <v>726</v>
      </c>
      <c r="C88" s="6">
        <v>78014.258</v>
      </c>
      <c r="D88" s="6">
        <v>98404.305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7.991</v>
      </c>
      <c r="K88" s="14">
        <v>3</v>
      </c>
      <c r="L88" s="13">
        <v>0</v>
      </c>
      <c r="M88" s="13">
        <v>0</v>
      </c>
      <c r="N88" s="13">
        <v>1</v>
      </c>
      <c r="O88" s="13">
        <v>0</v>
      </c>
      <c r="P88" s="13">
        <v>36.684</v>
      </c>
      <c r="Q88" s="13">
        <v>0</v>
      </c>
      <c r="R88" s="13">
        <v>0</v>
      </c>
    </row>
    <row r="89" ht="20.25" spans="1:18">
      <c r="A89" s="6" t="s">
        <v>727</v>
      </c>
      <c r="B89" s="6" t="s">
        <v>728</v>
      </c>
      <c r="C89" s="6">
        <v>1364.268</v>
      </c>
      <c r="D89" s="6">
        <v>2377.982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37.453</v>
      </c>
      <c r="K89" s="14">
        <v>0</v>
      </c>
      <c r="L89" s="13">
        <v>0</v>
      </c>
      <c r="M89" s="13">
        <v>0</v>
      </c>
      <c r="N89" s="13">
        <v>0</v>
      </c>
      <c r="O89" s="13">
        <v>0</v>
      </c>
      <c r="P89" s="13">
        <v>18.03</v>
      </c>
      <c r="Q89" s="13">
        <v>0</v>
      </c>
      <c r="R89" s="13">
        <v>0</v>
      </c>
    </row>
    <row r="90" ht="20.25" spans="1:18">
      <c r="A90" s="6" t="s">
        <v>729</v>
      </c>
      <c r="B90" s="6" t="s">
        <v>730</v>
      </c>
      <c r="C90" s="6">
        <v>96587.609</v>
      </c>
      <c r="D90" s="6">
        <v>186461.813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39.383</v>
      </c>
      <c r="K90" s="14">
        <v>1</v>
      </c>
      <c r="L90" s="13">
        <v>0</v>
      </c>
      <c r="M90" s="13">
        <v>0</v>
      </c>
      <c r="N90" s="13">
        <v>0</v>
      </c>
      <c r="O90" s="13">
        <v>0</v>
      </c>
      <c r="P90" s="13">
        <v>-424.269</v>
      </c>
      <c r="Q90" s="13">
        <v>0</v>
      </c>
      <c r="R90" s="13">
        <v>0</v>
      </c>
    </row>
    <row r="91" ht="20.25" spans="1:18">
      <c r="A91" s="6" t="s">
        <v>731</v>
      </c>
      <c r="B91" s="6" t="s">
        <v>732</v>
      </c>
      <c r="C91" s="6">
        <v>8138.382</v>
      </c>
      <c r="D91" s="6">
        <v>9250.88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1.472</v>
      </c>
      <c r="K91" s="14">
        <v>0</v>
      </c>
      <c r="L91" s="13">
        <v>0</v>
      </c>
      <c r="M91" s="13">
        <v>1</v>
      </c>
      <c r="N91" s="13">
        <v>-1</v>
      </c>
      <c r="O91" s="13">
        <v>0</v>
      </c>
      <c r="P91" s="13">
        <v>-2.7</v>
      </c>
      <c r="Q91" s="13">
        <v>0</v>
      </c>
      <c r="R91" s="13">
        <v>0</v>
      </c>
    </row>
    <row r="92" ht="20.25" spans="1:18">
      <c r="A92" s="6" t="s">
        <v>733</v>
      </c>
      <c r="B92" s="6" t="s">
        <v>734</v>
      </c>
      <c r="C92" s="6">
        <v>362.039</v>
      </c>
      <c r="D92" s="6">
        <v>573.49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2.638</v>
      </c>
      <c r="K92" s="14">
        <v>0</v>
      </c>
      <c r="L92" s="13">
        <v>1</v>
      </c>
      <c r="M92" s="13">
        <v>0</v>
      </c>
      <c r="N92" s="13">
        <v>0</v>
      </c>
      <c r="O92" s="13">
        <v>0</v>
      </c>
      <c r="P92" s="13">
        <v>-0.164</v>
      </c>
      <c r="Q92" s="13">
        <v>0</v>
      </c>
      <c r="R92" s="13">
        <v>0</v>
      </c>
    </row>
    <row r="93" ht="20.25" spans="1:18">
      <c r="A93" s="6" t="s">
        <v>735</v>
      </c>
      <c r="B93" s="6" t="s">
        <v>736</v>
      </c>
      <c r="C93" s="6">
        <v>435.553</v>
      </c>
      <c r="D93" s="6">
        <v>756.786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13.176</v>
      </c>
      <c r="K93" s="14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0.275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2026-04-07T15:52:19Z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5E62C812534A46E9B7CA7363E137874C_13</vt:lpwstr>
  </property>
  <property fmtid="{D5CDD505-2E9C-101B-9397-08002B2CF9AE}" pid="3" name="KSOProductBuildVer">
    <vt:lpwstr>2052-12.1.0.15712</vt:lpwstr>
  </property>
</Properties>
</file>