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<sst xmlns="http://schemas.openxmlformats.org/spreadsheetml/2006/main" count="726" uniqueCount="658">
  <si>
    <t>强转弱</t>
  </si>
  <si>
    <t>弱转强</t>
  </si>
  <si>
    <t>代码</t>
  </si>
  <si>
    <t>简称</t>
  </si>
  <si>
    <t>总市值</t>
  </si>
  <si>
    <t>区块链</t>
  </si>
  <si>
    <t>48734.08亿</t>
  </si>
  <si>
    <t>上证指数</t>
  </si>
  <si>
    <t>648672.00亿</t>
  </si>
  <si>
    <t>汽车类</t>
  </si>
  <si>
    <t>45872.39亿</t>
  </si>
  <si>
    <t>信创</t>
  </si>
  <si>
    <t>42624.59亿</t>
  </si>
  <si>
    <t>新综指</t>
  </si>
  <si>
    <t>627333.44亿</t>
  </si>
  <si>
    <t>百度概念</t>
  </si>
  <si>
    <t>42250.51亿</t>
  </si>
  <si>
    <t>Ａ股指数</t>
  </si>
  <si>
    <t>627055.44亿</t>
  </si>
  <si>
    <t>全指医药</t>
  </si>
  <si>
    <t>41857.96亿</t>
  </si>
  <si>
    <t>沪深300</t>
  </si>
  <si>
    <t>535430.56亿</t>
  </si>
  <si>
    <t>定增股</t>
  </si>
  <si>
    <t>41428.31亿</t>
  </si>
  <si>
    <t>国产软件</t>
  </si>
  <si>
    <t>34577.60亿</t>
  </si>
  <si>
    <t>MSCI成份</t>
  </si>
  <si>
    <t>524038.72亿</t>
  </si>
  <si>
    <t>华为鸿蒙</t>
  </si>
  <si>
    <t>33540.12亿</t>
  </si>
  <si>
    <t>大盘股</t>
  </si>
  <si>
    <t>494594.56亿</t>
  </si>
  <si>
    <t>互联金融</t>
  </si>
  <si>
    <t>26725.27亿</t>
  </si>
  <si>
    <t>基金重仓</t>
  </si>
  <si>
    <t>412221.38亿</t>
  </si>
  <si>
    <t>智慧政务</t>
  </si>
  <si>
    <t>23693.40亿</t>
  </si>
  <si>
    <t>上证180</t>
  </si>
  <si>
    <t>372367.50亿</t>
  </si>
  <si>
    <t>ChatGPT概念</t>
  </si>
  <si>
    <t>22574.93亿</t>
  </si>
  <si>
    <t>中证A100</t>
  </si>
  <si>
    <t>277544.84亿</t>
  </si>
  <si>
    <t>即将解禁</t>
  </si>
  <si>
    <t>21199.09亿</t>
  </si>
  <si>
    <t>北京板块</t>
  </si>
  <si>
    <t>234891.08亿</t>
  </si>
  <si>
    <t>医疗保健</t>
  </si>
  <si>
    <t>19166.25亿</t>
  </si>
  <si>
    <t>机器人概念</t>
  </si>
  <si>
    <t>208761.83亿</t>
  </si>
  <si>
    <t>家用电器</t>
  </si>
  <si>
    <t>18582.35亿</t>
  </si>
  <si>
    <t>通达信88</t>
  </si>
  <si>
    <t>191314.30亿</t>
  </si>
  <si>
    <t>IP经济</t>
  </si>
  <si>
    <t>17286.32亿</t>
  </si>
  <si>
    <t>低市盈率</t>
  </si>
  <si>
    <t>182596.16亿</t>
  </si>
  <si>
    <t>食品饮料</t>
  </si>
  <si>
    <t>16501.35亿</t>
  </si>
  <si>
    <t>人工智能</t>
  </si>
  <si>
    <t>176997.97亿</t>
  </si>
  <si>
    <t>国资云</t>
  </si>
  <si>
    <t>15052.91亿</t>
  </si>
  <si>
    <t>绩优股</t>
  </si>
  <si>
    <t>176918.20亿</t>
  </si>
  <si>
    <t>预制菜</t>
  </si>
  <si>
    <t>14020.01亿</t>
  </si>
  <si>
    <t>破净资产</t>
  </si>
  <si>
    <t>166360.75亿</t>
  </si>
  <si>
    <t>IT设备</t>
  </si>
  <si>
    <t>13677.28亿</t>
  </si>
  <si>
    <t>DeepSeek概念</t>
  </si>
  <si>
    <t>156068.56亿</t>
  </si>
  <si>
    <t>含B股</t>
  </si>
  <si>
    <t>11169.40亿</t>
  </si>
  <si>
    <t>消费100</t>
  </si>
  <si>
    <t>152982.28亿</t>
  </si>
  <si>
    <t>智谱AI</t>
  </si>
  <si>
    <t>10566.28亿</t>
  </si>
  <si>
    <t>保险重仓</t>
  </si>
  <si>
    <t>152128.64亿</t>
  </si>
  <si>
    <t>免税概念</t>
  </si>
  <si>
    <t>9847.60亿</t>
  </si>
  <si>
    <t>低市净率</t>
  </si>
  <si>
    <t>140292.20亿</t>
  </si>
  <si>
    <t>交通设施</t>
  </si>
  <si>
    <t>9802.08亿</t>
  </si>
  <si>
    <t>红利指数</t>
  </si>
  <si>
    <t>129809.97亿</t>
  </si>
  <si>
    <t>网红经济</t>
  </si>
  <si>
    <t>9426.79亿</t>
  </si>
  <si>
    <t>央视50</t>
  </si>
  <si>
    <t>121658.70亿</t>
  </si>
  <si>
    <t>信托重仓</t>
  </si>
  <si>
    <t>9075.49亿</t>
  </si>
  <si>
    <t>全指信息</t>
  </si>
  <si>
    <t>114413.72亿</t>
  </si>
  <si>
    <t>Web3概念</t>
  </si>
  <si>
    <t>7620.93亿</t>
  </si>
  <si>
    <t>深圳板块</t>
  </si>
  <si>
    <t>108089.47亿</t>
  </si>
  <si>
    <t>工业软件</t>
  </si>
  <si>
    <t>6628.27亿</t>
  </si>
  <si>
    <t>银行</t>
  </si>
  <si>
    <t>107305.34亿</t>
  </si>
  <si>
    <t>远程办公</t>
  </si>
  <si>
    <t>5698.84亿</t>
  </si>
  <si>
    <t>科创50</t>
  </si>
  <si>
    <t>107061.28亿</t>
  </si>
  <si>
    <t>地摊经济</t>
  </si>
  <si>
    <t>5615.29亿</t>
  </si>
  <si>
    <t>物联网</t>
  </si>
  <si>
    <t>103445.91亿</t>
  </si>
  <si>
    <t>运输设备</t>
  </si>
  <si>
    <t>5180.68亿</t>
  </si>
  <si>
    <t>上海板块</t>
  </si>
  <si>
    <t>97671.38亿</t>
  </si>
  <si>
    <t>Sora概念</t>
  </si>
  <si>
    <t>4761.61亿</t>
  </si>
  <si>
    <t>人形机器人</t>
  </si>
  <si>
    <t>89843.53亿</t>
  </si>
  <si>
    <t>知识产权</t>
  </si>
  <si>
    <t>4262.92亿</t>
  </si>
  <si>
    <t>连续亏损</t>
  </si>
  <si>
    <t>80610.34亿</t>
  </si>
  <si>
    <t>吉林板块</t>
  </si>
  <si>
    <t>3977.63亿</t>
  </si>
  <si>
    <t>小米概念</t>
  </si>
  <si>
    <t>65090.00亿</t>
  </si>
  <si>
    <t>ETC概念</t>
  </si>
  <si>
    <t>3877.64亿</t>
  </si>
  <si>
    <t>含可转债</t>
  </si>
  <si>
    <t>62839.70亿</t>
  </si>
  <si>
    <t>EDA概念</t>
  </si>
  <si>
    <t>3600.76亿</t>
  </si>
  <si>
    <t>大数据</t>
  </si>
  <si>
    <t>58581.11亿</t>
  </si>
  <si>
    <t>鸡肉</t>
  </si>
  <si>
    <t>3006.94亿</t>
  </si>
  <si>
    <t>智慧城市</t>
  </si>
  <si>
    <t>56119.44亿</t>
  </si>
  <si>
    <t>近端次新</t>
  </si>
  <si>
    <t>2937.42亿</t>
  </si>
  <si>
    <t>智能穿戴</t>
  </si>
  <si>
    <t>52992.44亿</t>
  </si>
  <si>
    <t>文教休闲</t>
  </si>
  <si>
    <t>2910.58亿</t>
  </si>
  <si>
    <t>腾讯概念</t>
  </si>
  <si>
    <t>51574.21亿</t>
  </si>
  <si>
    <t>知识付费</t>
  </si>
  <si>
    <t>2610.42亿</t>
  </si>
  <si>
    <t>算力租赁</t>
  </si>
  <si>
    <t>50749.75亿</t>
  </si>
  <si>
    <t>水务</t>
  </si>
  <si>
    <t>1436.67亿</t>
  </si>
  <si>
    <t>乡村振兴</t>
  </si>
  <si>
    <t>50036.12亿</t>
  </si>
  <si>
    <t>种业</t>
  </si>
  <si>
    <t>846.71亿</t>
  </si>
  <si>
    <t>券商重仓</t>
  </si>
  <si>
    <t>49702.60亿</t>
  </si>
  <si>
    <t>深证Ｂ指</t>
  </si>
  <si>
    <t>419.12亿</t>
  </si>
  <si>
    <t>智能家居</t>
  </si>
  <si>
    <t>48306.99亿</t>
  </si>
  <si>
    <t>中证银行</t>
  </si>
  <si>
    <t>--</t>
  </si>
  <si>
    <t>整体上市</t>
  </si>
  <si>
    <t>47021.71亿</t>
  </si>
  <si>
    <t>在线消费</t>
  </si>
  <si>
    <t>小米汽车概念</t>
  </si>
  <si>
    <t>46604.61亿</t>
  </si>
  <si>
    <t>国证基建</t>
  </si>
  <si>
    <t>医药</t>
  </si>
  <si>
    <t>44733.16亿</t>
  </si>
  <si>
    <t>珠三角</t>
  </si>
  <si>
    <t>抖音概念</t>
  </si>
  <si>
    <t>44514.09亿</t>
  </si>
  <si>
    <t>长三角</t>
  </si>
  <si>
    <t>户数增加</t>
  </si>
  <si>
    <t>38526.72亿</t>
  </si>
  <si>
    <t>国证服务</t>
  </si>
  <si>
    <t>跨境电商</t>
  </si>
  <si>
    <t>36980.29亿</t>
  </si>
  <si>
    <t>活跃可转债</t>
  </si>
  <si>
    <t>新型工业化</t>
  </si>
  <si>
    <t>34923.11亿</t>
  </si>
  <si>
    <t>基金指数</t>
  </si>
  <si>
    <t>雄安新区</t>
  </si>
  <si>
    <t>34391.52亿</t>
  </si>
  <si>
    <t>信息安全</t>
  </si>
  <si>
    <t>31088.76亿</t>
  </si>
  <si>
    <t>MCU芯片</t>
  </si>
  <si>
    <t>29494.83亿</t>
  </si>
  <si>
    <t>华为汽车</t>
  </si>
  <si>
    <t>28036.18亿</t>
  </si>
  <si>
    <t>元宇宙概念</t>
  </si>
  <si>
    <t>27722.03亿</t>
  </si>
  <si>
    <t>无线耳机</t>
  </si>
  <si>
    <t>26580.82亿</t>
  </si>
  <si>
    <t>多模态AI</t>
  </si>
  <si>
    <t>26205.33亿</t>
  </si>
  <si>
    <t>密集调研</t>
  </si>
  <si>
    <t>26017.01亿</t>
  </si>
  <si>
    <t>数字孪生</t>
  </si>
  <si>
    <t>25119.97亿</t>
  </si>
  <si>
    <t>安徽板块</t>
  </si>
  <si>
    <t>25118.25亿</t>
  </si>
  <si>
    <t>高铁</t>
  </si>
  <si>
    <t>23370.81亿</t>
  </si>
  <si>
    <t>贵州板块</t>
  </si>
  <si>
    <t>21728.00亿</t>
  </si>
  <si>
    <t>超清视频</t>
  </si>
  <si>
    <t>21560.63亿</t>
  </si>
  <si>
    <t>低安全分</t>
  </si>
  <si>
    <t>21445.11亿</t>
  </si>
  <si>
    <t>安防服务</t>
  </si>
  <si>
    <t>20298.17亿</t>
  </si>
  <si>
    <t>湖南板块</t>
  </si>
  <si>
    <t>18628.28亿</t>
  </si>
  <si>
    <t>建筑</t>
  </si>
  <si>
    <t>18538.43亿</t>
  </si>
  <si>
    <t>基因概念</t>
  </si>
  <si>
    <t>17630.37亿</t>
  </si>
  <si>
    <t>婴童概念</t>
  </si>
  <si>
    <t>17356.05亿</t>
  </si>
  <si>
    <t>物业管理概念</t>
  </si>
  <si>
    <t>16958.80亿</t>
  </si>
  <si>
    <t>网络游戏</t>
  </si>
  <si>
    <t>16873.59亿</t>
  </si>
  <si>
    <t>仿制药</t>
  </si>
  <si>
    <t>16680.11亿</t>
  </si>
  <si>
    <t>被举牌</t>
  </si>
  <si>
    <t>16663.39亿</t>
  </si>
  <si>
    <t>旅游概念</t>
  </si>
  <si>
    <t>16578.49亿</t>
  </si>
  <si>
    <t>中小银行</t>
  </si>
  <si>
    <t>16285.73亿</t>
  </si>
  <si>
    <t>低价股</t>
  </si>
  <si>
    <t>15439.17亿</t>
  </si>
  <si>
    <t>中俄贸易</t>
  </si>
  <si>
    <t>15320.53亿</t>
  </si>
  <si>
    <t>肝炎概念</t>
  </si>
  <si>
    <t>14593.57亿</t>
  </si>
  <si>
    <t>化债AMC</t>
  </si>
  <si>
    <t>13438.90亿</t>
  </si>
  <si>
    <t>体育概念</t>
  </si>
  <si>
    <t>12279.08亿</t>
  </si>
  <si>
    <t>保险新进</t>
  </si>
  <si>
    <t>11167.01亿</t>
  </si>
  <si>
    <t>互联网</t>
  </si>
  <si>
    <t>11088.28亿</t>
  </si>
  <si>
    <t>短剧游戏</t>
  </si>
  <si>
    <t>11059.27亿</t>
  </si>
  <si>
    <t>生物疫苗</t>
  </si>
  <si>
    <t>10741.61亿</t>
  </si>
  <si>
    <t>职业教育</t>
  </si>
  <si>
    <t>9784.28亿</t>
  </si>
  <si>
    <t>家庭医生</t>
  </si>
  <si>
    <t>9670.17亿</t>
  </si>
  <si>
    <t>工程机械</t>
  </si>
  <si>
    <t>8777.79亿</t>
  </si>
  <si>
    <t>维生素</t>
  </si>
  <si>
    <t>8438.19亿</t>
  </si>
  <si>
    <t>私募新进</t>
  </si>
  <si>
    <t>8184.55亿</t>
  </si>
  <si>
    <t>高校背景</t>
  </si>
  <si>
    <t>7501.35亿</t>
  </si>
  <si>
    <t>拟增持</t>
  </si>
  <si>
    <t>7096.53亿</t>
  </si>
  <si>
    <t>幽门螺杆菌</t>
  </si>
  <si>
    <t>6775.39亿</t>
  </si>
  <si>
    <t>纺织服饰</t>
  </si>
  <si>
    <t>6625.37亿</t>
  </si>
  <si>
    <t>血氧仪</t>
  </si>
  <si>
    <t>6616.16亿</t>
  </si>
  <si>
    <t>小红书概念</t>
  </si>
  <si>
    <t>6292.67亿</t>
  </si>
  <si>
    <t>食品安全</t>
  </si>
  <si>
    <t>5578.72亿</t>
  </si>
  <si>
    <t>股东增持</t>
  </si>
  <si>
    <t>4906.70亿</t>
  </si>
  <si>
    <t>租购同权</t>
  </si>
  <si>
    <t>4039.87亿</t>
  </si>
  <si>
    <t>矿物制品</t>
  </si>
  <si>
    <t>3573.41亿</t>
  </si>
  <si>
    <t>电子纸</t>
  </si>
  <si>
    <t>3497.07亿</t>
  </si>
  <si>
    <t>粮食概念</t>
  </si>
  <si>
    <t>3043.53亿</t>
  </si>
  <si>
    <t>C2M概念</t>
  </si>
  <si>
    <t>2860.73亿</t>
  </si>
  <si>
    <t>NMN概念</t>
  </si>
  <si>
    <t>2614.82亿</t>
  </si>
  <si>
    <t>造纸</t>
  </si>
  <si>
    <t>2432.58亿</t>
  </si>
  <si>
    <t>数字水印</t>
  </si>
  <si>
    <t>2355.80亿</t>
  </si>
  <si>
    <t>博彩概念</t>
  </si>
  <si>
    <t>1439.37亿</t>
  </si>
  <si>
    <t>不活跃股</t>
  </si>
  <si>
    <t>789.14亿</t>
  </si>
  <si>
    <t>Ｂ股指数</t>
  </si>
  <si>
    <t>686.55亿</t>
  </si>
  <si>
    <t>水产品</t>
  </si>
  <si>
    <t>496.84亿</t>
  </si>
  <si>
    <t>深证价值</t>
  </si>
  <si>
    <t>深证红利</t>
  </si>
  <si>
    <t>深证ETF</t>
  </si>
  <si>
    <t>创价值</t>
  </si>
  <si>
    <t>创业小盘</t>
  </si>
  <si>
    <t>创业200</t>
  </si>
  <si>
    <t>活跃ETF</t>
  </si>
  <si>
    <t>沪股通</t>
  </si>
  <si>
    <t>上证中盘</t>
  </si>
  <si>
    <t>超大盘</t>
  </si>
  <si>
    <t>治理指数</t>
  </si>
  <si>
    <t>国企改革</t>
  </si>
  <si>
    <t>中证100</t>
  </si>
  <si>
    <t>高铁产业</t>
  </si>
  <si>
    <t>国证价值</t>
  </si>
  <si>
    <t>新硬件</t>
  </si>
  <si>
    <t>分析师指数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</si>
  <si>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</si>
  <si>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</si>
  <si>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</si>
  <si>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</si>
  <si>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</si>
  <si>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</si>
  <si>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</si>
  <si>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</si>
  <si>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</si>
  <si>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</si>
  <si>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</si>
  <si>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</si>
  <si>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</si>
  <si>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</si>
  <si>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</si>
  <si>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</si>
  <si>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</si>
  <si>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</si>
  <si>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</si>
  <si>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</si>
  <si>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上证能源</t>
  </si>
  <si>
    <t>300能源</t>
  </si>
  <si>
    <t>中证能源</t>
  </si>
  <si>
    <t>全指能源</t>
  </si>
  <si>
    <t>综企指数</t>
  </si>
  <si>
    <t>1000能源</t>
  </si>
  <si>
    <t>细分食品</t>
  </si>
  <si>
    <t>中证消费</t>
  </si>
  <si>
    <t>全指消费</t>
  </si>
  <si>
    <t>农林指数</t>
  </si>
  <si>
    <t>1000消费</t>
  </si>
  <si>
    <t>国证食品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</si>
  <si>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</si>
  <si>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</si>
  <si>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</si>
  <si>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</si>
  <si>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</si>
  <si>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</si>
  <si>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</si>
  <si>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</si>
  <si>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</si>
  <si>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</si>
  <si>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</si>
  <si>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</si>
  <si>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大盘低波</t>
  </si>
  <si>
    <t>苏州率先</t>
  </si>
  <si>
    <t>专利领先</t>
  </si>
  <si>
    <t>深成公用</t>
  </si>
  <si>
    <t>商业指数</t>
  </si>
  <si>
    <t>地产指数</t>
  </si>
  <si>
    <t>综合指数</t>
  </si>
  <si>
    <t>上证50</t>
  </si>
  <si>
    <t>180金融</t>
  </si>
  <si>
    <t>上证可选</t>
  </si>
  <si>
    <t>上证消费</t>
  </si>
  <si>
    <t>上证金融</t>
  </si>
  <si>
    <t>上证信息</t>
  </si>
  <si>
    <t>上证央企</t>
  </si>
  <si>
    <t>责任指数</t>
  </si>
  <si>
    <t>50等权</t>
  </si>
  <si>
    <t>50基本</t>
  </si>
  <si>
    <t>上证海外</t>
  </si>
  <si>
    <t>全指价值</t>
  </si>
  <si>
    <t>上证周期</t>
  </si>
  <si>
    <t>消费80</t>
  </si>
  <si>
    <t>可选等权</t>
  </si>
  <si>
    <t>消费等权</t>
  </si>
  <si>
    <t>金融等权</t>
  </si>
  <si>
    <t>上证下游</t>
  </si>
  <si>
    <t>380可选</t>
  </si>
  <si>
    <t>380金融</t>
  </si>
  <si>
    <t>180动态</t>
  </si>
  <si>
    <t>消费50</t>
  </si>
  <si>
    <t>180高贝</t>
  </si>
  <si>
    <t>消费领先</t>
  </si>
  <si>
    <t>市值百强</t>
  </si>
  <si>
    <t>沪互联+</t>
  </si>
  <si>
    <t>50AH优选</t>
  </si>
  <si>
    <t>科创ESG</t>
  </si>
  <si>
    <t>消费服务</t>
  </si>
  <si>
    <t>300非银</t>
  </si>
  <si>
    <t>上海国企</t>
  </si>
  <si>
    <t>港中小企</t>
  </si>
  <si>
    <t>300可选</t>
  </si>
  <si>
    <t>300金融</t>
  </si>
  <si>
    <t>300信息</t>
  </si>
  <si>
    <t>800可选</t>
  </si>
  <si>
    <t>中证金融</t>
  </si>
  <si>
    <t>内地消费</t>
  </si>
  <si>
    <t>内地地产</t>
  </si>
  <si>
    <t>300地产</t>
  </si>
  <si>
    <t>银河99</t>
  </si>
  <si>
    <t>基本200</t>
  </si>
  <si>
    <t>等权90</t>
  </si>
  <si>
    <t>800金融</t>
  </si>
  <si>
    <t>中证超大</t>
  </si>
  <si>
    <t>全指可选</t>
  </si>
  <si>
    <t>全指金融</t>
  </si>
  <si>
    <t>成份Ｂ指</t>
  </si>
  <si>
    <t>批零指数</t>
  </si>
  <si>
    <t>金融指数</t>
  </si>
  <si>
    <t>文化指数</t>
  </si>
  <si>
    <t>创业软件</t>
  </si>
  <si>
    <t>大数据50</t>
  </si>
  <si>
    <t>AI 50</t>
  </si>
  <si>
    <t>区块链50</t>
  </si>
  <si>
    <t>巨潮100</t>
  </si>
  <si>
    <t>巨潮大盘</t>
  </si>
  <si>
    <t>深证责任</t>
  </si>
  <si>
    <t>皖江30</t>
  </si>
  <si>
    <t>创新示范</t>
  </si>
  <si>
    <t>深企综指</t>
  </si>
  <si>
    <t>1000地产</t>
  </si>
  <si>
    <t>1000可选</t>
  </si>
  <si>
    <t>1000金融</t>
  </si>
  <si>
    <t>国证地产</t>
  </si>
  <si>
    <t>中经GDP</t>
  </si>
  <si>
    <t>大盘高贝</t>
  </si>
  <si>
    <t>数据要素</t>
  </si>
  <si>
    <t>国证保证</t>
  </si>
  <si>
    <t>中关村50</t>
  </si>
  <si>
    <t>证券龙头</t>
  </si>
  <si>
    <t>央视责任</t>
  </si>
  <si>
    <t>深证消费</t>
  </si>
  <si>
    <t>深证金融</t>
  </si>
  <si>
    <t>深证地产</t>
  </si>
  <si>
    <t>深消费50</t>
  </si>
  <si>
    <t>深成消费</t>
  </si>
  <si>
    <t>深成金融</t>
  </si>
  <si>
    <t>安防产业</t>
  </si>
  <si>
    <t>金融科技</t>
  </si>
  <si>
    <t>深证F60</t>
  </si>
  <si>
    <t>CSSW证券</t>
  </si>
  <si>
    <t>保险主题</t>
  </si>
  <si>
    <t>养老产业</t>
  </si>
  <si>
    <t>300 金融</t>
  </si>
  <si>
    <t>800地产</t>
  </si>
  <si>
    <t>800非银</t>
  </si>
  <si>
    <t>移动互联</t>
  </si>
  <si>
    <t>证券公司</t>
  </si>
  <si>
    <t>地产等权</t>
  </si>
  <si>
    <t>中证酒</t>
  </si>
  <si>
    <t>中证白酒</t>
  </si>
  <si>
    <t>湾创100</t>
  </si>
  <si>
    <t>机器人产业</t>
  </si>
  <si>
    <t>南山50</t>
  </si>
  <si>
    <t>龙头家电</t>
  </si>
  <si>
    <t>湾创100R</t>
  </si>
  <si>
    <t>【数据引擎：奇衡DK阿赖耶识系统】情绪值</t>
  </si>
  <si>
    <t>CJ00</t>
  </si>
  <si>
    <t>红枣连续</t>
  </si>
  <si>
    <t>BR00</t>
  </si>
  <si>
    <t>丁二烯橡胶连续</t>
  </si>
  <si>
    <t>BUX00</t>
  </si>
  <si>
    <t>沥青连续</t>
  </si>
  <si>
    <t>FU00</t>
  </si>
  <si>
    <t>燃油连续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</si>
  <si>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</si>
  <si>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</si>
  <si>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</si>
  <si>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</si>
  <si>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</si>
  <si>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</si>
  <si>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</si>
  <si>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</si>
  <si>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</si>
  <si>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</si>
  <si>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</si>
  <si>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</si>
  <si>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</si>
  <si>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</si>
  <si>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</si>
  <si>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</si>
  <si>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</si>
  <si>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</si>
  <si>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</si>
  <si>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</si>
  <si>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</si>
  <si>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</si>
  <si>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</si>
  <si>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</si>
  <si>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Y00</t>
  </si>
  <si>
    <t>豆油连续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</si>
  <si>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</si>
  <si>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</si>
  <si>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</si>
  <si>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</si>
  <si>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</si>
  <si>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</si>
  <si>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</si>
  <si>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</si>
  <si>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</si>
  <si>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</si>
  <si>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</si>
  <si>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</si>
  <si>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SM00</t>
  </si>
  <si>
    <t>锰硅连续</t>
  </si>
  <si>
    <t>TA00</t>
  </si>
  <si>
    <t>PTA连续</t>
  </si>
  <si>
    <t>LU00</t>
  </si>
  <si>
    <t>低硫燃油连续</t>
  </si>
  <si>
    <t>SC0000</t>
  </si>
  <si>
    <t>原油连续</t>
  </si>
  <si>
    <t>SP00</t>
  </si>
  <si>
    <t>纸浆连续</t>
  </si>
  <si>
    <t>BB00</t>
  </si>
  <si>
    <t>胶合板连续</t>
  </si>
  <si>
    <t>LH00</t>
  </si>
  <si>
    <t>生猪连续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</si>
  <si>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</si>
  <si>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</si>
  <si>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</si>
  <si>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</si>
  <si>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</si>
  <si>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</si>
  <si>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</si>
  <si>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</si>
  <si>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</si>
  <si>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</si>
  <si>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PS00</t>
  </si>
  <si>
    <t>多晶硅连续</t>
  </si>
  <si>
    <t>PD00</t>
  </si>
  <si>
    <t>钯连续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</si>
  <si>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</si>
  <si>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</si>
  <si>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</si>
  <si>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</si>
  <si>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</si>
  <si>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</si>
  <si>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</si>
  <si>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</si>
  <si>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</si>
  <si>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</si>
  <si>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</si>
  <si>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</si>
  <si>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</si>
  <si>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</si>
  <si>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</si>
  <si>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</si>
  <si>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</si>
  <si>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</si>
  <si>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</si>
  <si>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</si>
  <si>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</si>
  <si>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</si>
  <si>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</si>
  <si>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</si>
  <si>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</si>
  <si>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</si>
  <si>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</si>
  <si>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</si>
  <si>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</si>
  <si>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</si>
  <si>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</si>
  <si>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</si>
  <si>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</si>
  <si>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</si>
  <si>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</si>
  <si>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</si>
  <si>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</si>
  <si>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</si>
  <si>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</si>
  <si>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</si>
  <si>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</si>
  <si>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</si>
  <si>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</si>
  <si>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</si>
  <si>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</si>
  <si>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</si>
  <si>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</si>
  <si>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</si>
  <si>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</si>
  <si>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</si>
  <si>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</si>
  <si>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</si>
  <si>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</si>
  <si>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</si>
  <si>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</si>
  <si>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</si>
  <si>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</si>
  <si>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</si>
  <si>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</si>
  <si>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</si>
  <si>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</si>
  <si>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</si>
  <si>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</si>
  <si>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</si>
  <si>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</si>
  <si>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</si>
  <si>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</si>
  <si>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</si>
  <si>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</si>
  <si>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</si>
  <si>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</si>
  <si>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</si>
  <si>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</si>
  <si>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</si>
  <si>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</si>
  <si>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</si>
  <si>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</si>
  <si>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</si>
  <si>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</si>
  <si>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</si>
  <si>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</si>
  <si>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</si>
  <si>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</si>
  <si>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</si>
  <si>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</si>
  <si>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</si>
  <si>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</si>
  <si>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</si>
  <si>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</si>
  <si>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</si>
  <si>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</si>
  <si>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</si>
  <si>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</si>
  <si>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</si>
  <si>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</si>
  <si>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</si>
  <si>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</si>
  <si>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</si>
  <si>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</si>
  <si>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</si>
  <si>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</si>
  <si>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</si>
  <si>
    <t>LC00</t>
  </si>
  <si>
    <t>碳酸锂连续</t>
  </si>
  <si>
    <t>SI00</t>
  </si>
  <si>
    <t>工业硅连续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</si>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</sst>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52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"880946"</f>
        <v>880946</v>
      </c>
      <c r="B3" s="38" t="s">
        <v>5</v>
      </c>
      <c r="C3" s="38" t="s">
        <v>6</v>
      </c>
      <c r="D3" s="38" t="str">
        <f>"000001"</f>
        <v>000001</v>
      </c>
      <c r="E3" s="38" t="s">
        <v>7</v>
      </c>
      <c r="F3" s="38" t="s">
        <v>8</v>
      </c>
    </row>
    <row r="4" ht="13.5" spans="1:6">
      <c r="A4" s="38" t="str">
        <f>"880390"</f>
        <v>880390</v>
      </c>
      <c r="B4" s="38" t="s">
        <v>9</v>
      </c>
      <c r="C4" s="38" t="s">
        <v>10</v>
      </c>
      <c r="D4" s="38" t="str">
        <f>"999999"</f>
        <v>999999</v>
      </c>
      <c r="E4" s="38" t="s">
        <v>7</v>
      </c>
      <c r="F4" s="38" t="s">
        <v>8</v>
      </c>
    </row>
    <row r="5" ht="13.5" spans="1:6">
      <c r="A5" s="38" t="str">
        <f>"880762"</f>
        <v>880762</v>
      </c>
      <c r="B5" s="38" t="s">
        <v>11</v>
      </c>
      <c r="C5" s="38" t="s">
        <v>12</v>
      </c>
      <c r="D5" s="38" t="str">
        <f>"000017"</f>
        <v>000017</v>
      </c>
      <c r="E5" s="38" t="s">
        <v>13</v>
      </c>
      <c r="F5" s="38" t="s">
        <v>14</v>
      </c>
    </row>
    <row r="6" ht="13.5" spans="1:6">
      <c r="A6" s="38" t="str">
        <f>"880962"</f>
        <v>880962</v>
      </c>
      <c r="B6" s="38" t="s">
        <v>15</v>
      </c>
      <c r="C6" s="38" t="s">
        <v>16</v>
      </c>
      <c r="D6" s="38" t="str">
        <f>"000002"</f>
        <v>000002</v>
      </c>
      <c r="E6" s="38" t="s">
        <v>17</v>
      </c>
      <c r="F6" s="38" t="s">
        <v>18</v>
      </c>
    </row>
    <row r="7" ht="13.5" spans="1:6">
      <c r="A7" s="38" t="str">
        <f>"000991"</f>
        <v>000991</v>
      </c>
      <c r="B7" s="38" t="s">
        <v>19</v>
      </c>
      <c r="C7" s="38" t="s">
        <v>20</v>
      </c>
      <c r="D7" s="38" t="str">
        <f>"000300"</f>
        <v>000300</v>
      </c>
      <c r="E7" s="38" t="s">
        <v>21</v>
      </c>
      <c r="F7" s="38" t="s">
        <v>22</v>
      </c>
    </row>
    <row r="8" ht="13.5" spans="1:6">
      <c r="A8" s="38" t="str">
        <f>"880856"</f>
        <v>880856</v>
      </c>
      <c r="B8" s="38" t="s">
        <v>23</v>
      </c>
      <c r="C8" s="38" t="s">
        <v>24</v>
      </c>
      <c r="D8" s="38" t="str">
        <f>"399300"</f>
        <v>399300</v>
      </c>
      <c r="E8" s="38" t="s">
        <v>21</v>
      </c>
      <c r="F8" s="38" t="s">
        <v>22</v>
      </c>
    </row>
    <row r="9" ht="13.5" spans="1:6">
      <c r="A9" s="38" t="str">
        <f>"880916"</f>
        <v>880916</v>
      </c>
      <c r="B9" s="38" t="s">
        <v>25</v>
      </c>
      <c r="C9" s="38" t="s">
        <v>26</v>
      </c>
      <c r="D9" s="38" t="str">
        <f>"880883"</f>
        <v>880883</v>
      </c>
      <c r="E9" s="38" t="s">
        <v>27</v>
      </c>
      <c r="F9" s="38" t="s">
        <v>28</v>
      </c>
    </row>
    <row r="10" ht="13.5" spans="1:6">
      <c r="A10" s="38" t="str">
        <f>"880722"</f>
        <v>880722</v>
      </c>
      <c r="B10" s="38" t="s">
        <v>29</v>
      </c>
      <c r="C10" s="38" t="s">
        <v>30</v>
      </c>
      <c r="D10" s="38" t="str">
        <f>"880821"</f>
        <v>880821</v>
      </c>
      <c r="E10" s="38" t="s">
        <v>31</v>
      </c>
      <c r="F10" s="38" t="s">
        <v>32</v>
      </c>
    </row>
    <row r="11" ht="13.5" spans="1:6">
      <c r="A11" s="38" t="str">
        <f>"880592"</f>
        <v>880592</v>
      </c>
      <c r="B11" s="38" t="s">
        <v>33</v>
      </c>
      <c r="C11" s="38" t="s">
        <v>34</v>
      </c>
      <c r="D11" s="38" t="str">
        <f>"880801"</f>
        <v>880801</v>
      </c>
      <c r="E11" s="38" t="s">
        <v>35</v>
      </c>
      <c r="F11" s="38" t="s">
        <v>36</v>
      </c>
    </row>
    <row r="12" ht="13.5" spans="1:6">
      <c r="A12" s="38" t="str">
        <f>"880601"</f>
        <v>880601</v>
      </c>
      <c r="B12" s="38" t="s">
        <v>37</v>
      </c>
      <c r="C12" s="38" t="s">
        <v>38</v>
      </c>
      <c r="D12" s="38" t="str">
        <f>"000010"</f>
        <v>000010</v>
      </c>
      <c r="E12" s="38" t="s">
        <v>39</v>
      </c>
      <c r="F12" s="38" t="s">
        <v>40</v>
      </c>
    </row>
    <row r="13" ht="13.5" spans="1:6">
      <c r="A13" s="38" t="str">
        <f>"880654"</f>
        <v>880654</v>
      </c>
      <c r="B13" s="38" t="s">
        <v>41</v>
      </c>
      <c r="C13" s="38" t="s">
        <v>42</v>
      </c>
      <c r="D13" s="38" t="str">
        <f>"000903"</f>
        <v>000903</v>
      </c>
      <c r="E13" s="38" t="s">
        <v>43</v>
      </c>
      <c r="F13" s="38" t="s">
        <v>44</v>
      </c>
    </row>
    <row r="14" ht="13.5" spans="1:6">
      <c r="A14" s="38" t="str">
        <f>"880897"</f>
        <v>880897</v>
      </c>
      <c r="B14" s="38" t="s">
        <v>45</v>
      </c>
      <c r="C14" s="38" t="s">
        <v>46</v>
      </c>
      <c r="D14" s="38" t="str">
        <f>"880207"</f>
        <v>880207</v>
      </c>
      <c r="E14" s="38" t="s">
        <v>47</v>
      </c>
      <c r="F14" s="38" t="s">
        <v>48</v>
      </c>
    </row>
    <row r="15" ht="13.5" spans="1:6">
      <c r="A15" s="38" t="str">
        <f>"880398"</f>
        <v>880398</v>
      </c>
      <c r="B15" s="38" t="s">
        <v>49</v>
      </c>
      <c r="C15" s="38" t="s">
        <v>50</v>
      </c>
      <c r="D15" s="38" t="str">
        <f>"880904"</f>
        <v>880904</v>
      </c>
      <c r="E15" s="38" t="s">
        <v>51</v>
      </c>
      <c r="F15" s="38" t="s">
        <v>52</v>
      </c>
    </row>
    <row r="16" ht="13.5" spans="1:6">
      <c r="A16" s="38" t="str">
        <f>"880387"</f>
        <v>880387</v>
      </c>
      <c r="B16" s="38" t="s">
        <v>53</v>
      </c>
      <c r="C16" s="38" t="s">
        <v>54</v>
      </c>
      <c r="D16" s="38" t="str">
        <f>"880515"</f>
        <v>880515</v>
      </c>
      <c r="E16" s="38" t="s">
        <v>55</v>
      </c>
      <c r="F16" s="38" t="s">
        <v>56</v>
      </c>
    </row>
    <row r="17" ht="13.5" spans="1:6">
      <c r="A17" s="38" t="str">
        <f>"880617"</f>
        <v>880617</v>
      </c>
      <c r="B17" s="38" t="s">
        <v>57</v>
      </c>
      <c r="C17" s="38" t="s">
        <v>58</v>
      </c>
      <c r="D17" s="38" t="str">
        <f>"880826"</f>
        <v>880826</v>
      </c>
      <c r="E17" s="38" t="s">
        <v>59</v>
      </c>
      <c r="F17" s="38" t="s">
        <v>60</v>
      </c>
    </row>
    <row r="18" ht="13.5" spans="1:6">
      <c r="A18" s="38" t="str">
        <f>"880372"</f>
        <v>880372</v>
      </c>
      <c r="B18" s="38" t="s">
        <v>61</v>
      </c>
      <c r="C18" s="38" t="s">
        <v>62</v>
      </c>
      <c r="D18" s="38" t="str">
        <f>"880948"</f>
        <v>880948</v>
      </c>
      <c r="E18" s="38" t="s">
        <v>63</v>
      </c>
      <c r="F18" s="38" t="s">
        <v>64</v>
      </c>
    </row>
    <row r="19" ht="13.5" spans="1:6">
      <c r="A19" s="38" t="str">
        <f>"880746"</f>
        <v>880746</v>
      </c>
      <c r="B19" s="38" t="s">
        <v>65</v>
      </c>
      <c r="C19" s="38" t="s">
        <v>66</v>
      </c>
      <c r="D19" s="38" t="str">
        <f>"880835"</f>
        <v>880835</v>
      </c>
      <c r="E19" s="38" t="s">
        <v>67</v>
      </c>
      <c r="F19" s="38" t="s">
        <v>68</v>
      </c>
    </row>
    <row r="20" ht="13.5" spans="1:6">
      <c r="A20" s="38" t="str">
        <f>"880760"</f>
        <v>880760</v>
      </c>
      <c r="B20" s="38" t="s">
        <v>69</v>
      </c>
      <c r="C20" s="38" t="s">
        <v>70</v>
      </c>
      <c r="D20" s="38" t="str">
        <f>"880846"</f>
        <v>880846</v>
      </c>
      <c r="E20" s="38" t="s">
        <v>71</v>
      </c>
      <c r="F20" s="38" t="s">
        <v>72</v>
      </c>
    </row>
    <row r="21" ht="13.5" spans="1:6">
      <c r="A21" s="38" t="str">
        <f>"880489"</f>
        <v>880489</v>
      </c>
      <c r="B21" s="38" t="s">
        <v>73</v>
      </c>
      <c r="C21" s="38" t="s">
        <v>74</v>
      </c>
      <c r="D21" s="38" t="str">
        <f>"880978"</f>
        <v>880978</v>
      </c>
      <c r="E21" s="38" t="s">
        <v>75</v>
      </c>
      <c r="F21" s="38" t="s">
        <v>76</v>
      </c>
    </row>
    <row r="22" ht="13.5" spans="1:6">
      <c r="A22" s="38" t="str">
        <f>"880502"</f>
        <v>880502</v>
      </c>
      <c r="B22" s="38" t="s">
        <v>77</v>
      </c>
      <c r="C22" s="38" t="s">
        <v>78</v>
      </c>
      <c r="D22" s="38" t="str">
        <f>"399364"</f>
        <v>399364</v>
      </c>
      <c r="E22" s="38" t="s">
        <v>79</v>
      </c>
      <c r="F22" s="38" t="s">
        <v>80</v>
      </c>
    </row>
    <row r="23" ht="13.5" spans="1:6">
      <c r="A23" s="38" t="str">
        <f>"880579"</f>
        <v>880579</v>
      </c>
      <c r="B23" s="38" t="s">
        <v>81</v>
      </c>
      <c r="C23" s="38" t="s">
        <v>82</v>
      </c>
      <c r="D23" s="38" t="str">
        <f>"880805"</f>
        <v>880805</v>
      </c>
      <c r="E23" s="38" t="s">
        <v>83</v>
      </c>
      <c r="F23" s="38" t="s">
        <v>84</v>
      </c>
    </row>
    <row r="24" ht="13.5" spans="1:6">
      <c r="A24" s="38" t="str">
        <f>"880602"</f>
        <v>880602</v>
      </c>
      <c r="B24" s="38" t="s">
        <v>85</v>
      </c>
      <c r="C24" s="38" t="s">
        <v>86</v>
      </c>
      <c r="D24" s="38" t="str">
        <f>"880829"</f>
        <v>880829</v>
      </c>
      <c r="E24" s="38" t="s">
        <v>87</v>
      </c>
      <c r="F24" s="38" t="s">
        <v>88</v>
      </c>
    </row>
    <row r="25" ht="13.5" spans="1:6">
      <c r="A25" s="38" t="str">
        <f>"880465"</f>
        <v>880465</v>
      </c>
      <c r="B25" s="38" t="s">
        <v>89</v>
      </c>
      <c r="C25" s="38" t="s">
        <v>90</v>
      </c>
      <c r="D25" s="38" t="str">
        <f>"000015"</f>
        <v>000015</v>
      </c>
      <c r="E25" s="38" t="s">
        <v>91</v>
      </c>
      <c r="F25" s="38" t="s">
        <v>92</v>
      </c>
    </row>
    <row r="26" ht="13.5" spans="1:6">
      <c r="A26" s="38" t="str">
        <f>"880791"</f>
        <v>880791</v>
      </c>
      <c r="B26" s="38" t="s">
        <v>93</v>
      </c>
      <c r="C26" s="38" t="s">
        <v>94</v>
      </c>
      <c r="D26" s="38" t="str">
        <f>"399550"</f>
        <v>399550</v>
      </c>
      <c r="E26" s="38" t="s">
        <v>95</v>
      </c>
      <c r="F26" s="38" t="s">
        <v>96</v>
      </c>
    </row>
    <row r="27" ht="13.5" spans="1:6">
      <c r="A27" s="38" t="str">
        <f>"880804"</f>
        <v>880804</v>
      </c>
      <c r="B27" s="38" t="s">
        <v>97</v>
      </c>
      <c r="C27" s="38" t="s">
        <v>98</v>
      </c>
      <c r="D27" s="38" t="str">
        <f>"000993"</f>
        <v>000993</v>
      </c>
      <c r="E27" s="38" t="s">
        <v>99</v>
      </c>
      <c r="F27" s="38" t="s">
        <v>100</v>
      </c>
    </row>
    <row r="28" ht="13.5" spans="1:6">
      <c r="A28" s="38" t="str">
        <f>"880643"</f>
        <v>880643</v>
      </c>
      <c r="B28" s="38" t="s">
        <v>101</v>
      </c>
      <c r="C28" s="38" t="s">
        <v>102</v>
      </c>
      <c r="D28" s="38" t="str">
        <f>"880218"</f>
        <v>880218</v>
      </c>
      <c r="E28" s="38" t="s">
        <v>103</v>
      </c>
      <c r="F28" s="38" t="s">
        <v>104</v>
      </c>
    </row>
    <row r="29" ht="13.5" spans="1:6">
      <c r="A29" s="38" t="str">
        <f>"880660"</f>
        <v>880660</v>
      </c>
      <c r="B29" s="38" t="s">
        <v>105</v>
      </c>
      <c r="C29" s="38" t="s">
        <v>106</v>
      </c>
      <c r="D29" s="38" t="str">
        <f>"880471"</f>
        <v>880471</v>
      </c>
      <c r="E29" s="38" t="s">
        <v>107</v>
      </c>
      <c r="F29" s="38" t="s">
        <v>108</v>
      </c>
    </row>
    <row r="30" ht="13.5" spans="1:6">
      <c r="A30" s="38" t="str">
        <f>"880794"</f>
        <v>880794</v>
      </c>
      <c r="B30" s="38" t="s">
        <v>109</v>
      </c>
      <c r="C30" s="38" t="s">
        <v>110</v>
      </c>
      <c r="D30" s="38" t="str">
        <f>"000688"</f>
        <v>000688</v>
      </c>
      <c r="E30" s="38" t="s">
        <v>111</v>
      </c>
      <c r="F30" s="38" t="s">
        <v>112</v>
      </c>
    </row>
    <row r="31" ht="13.5" spans="1:6">
      <c r="A31" s="38" t="str">
        <f>"880719"</f>
        <v>880719</v>
      </c>
      <c r="B31" s="38" t="s">
        <v>113</v>
      </c>
      <c r="C31" s="38" t="s">
        <v>114</v>
      </c>
      <c r="D31" s="38" t="str">
        <f>"880533"</f>
        <v>880533</v>
      </c>
      <c r="E31" s="38" t="s">
        <v>115</v>
      </c>
      <c r="F31" s="38" t="s">
        <v>116</v>
      </c>
    </row>
    <row r="32" ht="13.5" spans="1:6">
      <c r="A32" s="38" t="str">
        <f>"880432"</f>
        <v>880432</v>
      </c>
      <c r="B32" s="38" t="s">
        <v>117</v>
      </c>
      <c r="C32" s="38" t="s">
        <v>118</v>
      </c>
      <c r="D32" s="38" t="str">
        <f>"880216"</f>
        <v>880216</v>
      </c>
      <c r="E32" s="38" t="s">
        <v>119</v>
      </c>
      <c r="F32" s="38" t="s">
        <v>120</v>
      </c>
    </row>
    <row r="33" ht="13.5" spans="1:6">
      <c r="A33" s="38" t="str">
        <f>"880701"</f>
        <v>880701</v>
      </c>
      <c r="B33" s="38" t="s">
        <v>121</v>
      </c>
      <c r="C33" s="38" t="s">
        <v>122</v>
      </c>
      <c r="D33" s="38" t="str">
        <f>"880703"</f>
        <v>880703</v>
      </c>
      <c r="E33" s="38" t="s">
        <v>123</v>
      </c>
      <c r="F33" s="38" t="s">
        <v>124</v>
      </c>
    </row>
    <row r="34" ht="13.5" spans="1:6">
      <c r="A34" s="38" t="str">
        <f>"880959"</f>
        <v>880959</v>
      </c>
      <c r="B34" s="38" t="s">
        <v>125</v>
      </c>
      <c r="C34" s="38" t="s">
        <v>126</v>
      </c>
      <c r="D34" s="38" t="str">
        <f>"880861"</f>
        <v>880861</v>
      </c>
      <c r="E34" s="38" t="s">
        <v>127</v>
      </c>
      <c r="F34" s="38" t="s">
        <v>128</v>
      </c>
    </row>
    <row r="35" ht="13.5" spans="1:6">
      <c r="A35" s="38" t="str">
        <f>"880203"</f>
        <v>880203</v>
      </c>
      <c r="B35" s="38" t="s">
        <v>129</v>
      </c>
      <c r="C35" s="38" t="s">
        <v>130</v>
      </c>
      <c r="D35" s="38" t="str">
        <f>"880961"</f>
        <v>880961</v>
      </c>
      <c r="E35" s="38" t="s">
        <v>131</v>
      </c>
      <c r="F35" s="38" t="s">
        <v>132</v>
      </c>
    </row>
    <row r="36" ht="13.5" spans="1:6">
      <c r="A36" s="38" t="str">
        <f>"880713"</f>
        <v>880713</v>
      </c>
      <c r="B36" s="38" t="s">
        <v>133</v>
      </c>
      <c r="C36" s="38" t="s">
        <v>134</v>
      </c>
      <c r="D36" s="38" t="str">
        <f>"880524"</f>
        <v>880524</v>
      </c>
      <c r="E36" s="38" t="s">
        <v>135</v>
      </c>
      <c r="F36" s="38" t="s">
        <v>136</v>
      </c>
    </row>
    <row r="37" ht="13.5" spans="1:6">
      <c r="A37" s="38" t="str">
        <f>"880637"</f>
        <v>880637</v>
      </c>
      <c r="B37" s="38" t="s">
        <v>137</v>
      </c>
      <c r="C37" s="38" t="s">
        <v>138</v>
      </c>
      <c r="D37" s="38" t="str">
        <f>"880954"</f>
        <v>880954</v>
      </c>
      <c r="E37" s="38" t="s">
        <v>139</v>
      </c>
      <c r="F37" s="38" t="s">
        <v>140</v>
      </c>
    </row>
    <row r="38" ht="13.5" spans="1:6">
      <c r="A38" s="38" t="str">
        <f>"880764"</f>
        <v>880764</v>
      </c>
      <c r="B38" s="38" t="s">
        <v>141</v>
      </c>
      <c r="C38" s="38" t="s">
        <v>142</v>
      </c>
      <c r="D38" s="38" t="str">
        <f>"880949"</f>
        <v>880949</v>
      </c>
      <c r="E38" s="38" t="s">
        <v>143</v>
      </c>
      <c r="F38" s="38" t="s">
        <v>144</v>
      </c>
    </row>
    <row r="39" ht="13.5" spans="1:6">
      <c r="A39" s="38" t="str">
        <f>"880885"</f>
        <v>880885</v>
      </c>
      <c r="B39" s="38" t="s">
        <v>145</v>
      </c>
      <c r="C39" s="38" t="s">
        <v>146</v>
      </c>
      <c r="D39" s="38" t="str">
        <f>"880589"</f>
        <v>880589</v>
      </c>
      <c r="E39" s="38" t="s">
        <v>147</v>
      </c>
      <c r="F39" s="38" t="s">
        <v>148</v>
      </c>
    </row>
    <row r="40" ht="13.5" spans="1:6">
      <c r="A40" s="38" t="str">
        <f>"880422"</f>
        <v>880422</v>
      </c>
      <c r="B40" s="38" t="s">
        <v>149</v>
      </c>
      <c r="C40" s="38" t="s">
        <v>150</v>
      </c>
      <c r="D40" s="38" t="str">
        <f>"880956"</f>
        <v>880956</v>
      </c>
      <c r="E40" s="38" t="s">
        <v>151</v>
      </c>
      <c r="F40" s="38" t="s">
        <v>152</v>
      </c>
    </row>
    <row r="41" ht="13.5" spans="1:6">
      <c r="A41" s="38" t="str">
        <f>"880668"</f>
        <v>880668</v>
      </c>
      <c r="B41" s="38" t="s">
        <v>153</v>
      </c>
      <c r="C41" s="38" t="s">
        <v>154</v>
      </c>
      <c r="D41" s="38" t="str">
        <f>"880669"</f>
        <v>880669</v>
      </c>
      <c r="E41" s="38" t="s">
        <v>155</v>
      </c>
      <c r="F41" s="38" t="s">
        <v>156</v>
      </c>
    </row>
    <row r="42" ht="13.5" spans="1:6">
      <c r="A42" s="38" t="str">
        <f>"880454"</f>
        <v>880454</v>
      </c>
      <c r="B42" s="38" t="s">
        <v>157</v>
      </c>
      <c r="C42" s="38" t="s">
        <v>158</v>
      </c>
      <c r="D42" s="38" t="str">
        <f>"880955"</f>
        <v>880955</v>
      </c>
      <c r="E42" s="38" t="s">
        <v>159</v>
      </c>
      <c r="F42" s="38" t="s">
        <v>160</v>
      </c>
    </row>
    <row r="43" ht="13.5" spans="1:6">
      <c r="A43" s="38" t="str">
        <f>"880710"</f>
        <v>880710</v>
      </c>
      <c r="B43" s="38" t="s">
        <v>161</v>
      </c>
      <c r="C43" s="38" t="s">
        <v>162</v>
      </c>
      <c r="D43" s="38" t="str">
        <f>"880803"</f>
        <v>880803</v>
      </c>
      <c r="E43" s="38" t="s">
        <v>163</v>
      </c>
      <c r="F43" s="38" t="s">
        <v>164</v>
      </c>
    </row>
    <row r="44" ht="13.5" spans="1:6">
      <c r="A44" s="38" t="str">
        <f>"399108"</f>
        <v>399108</v>
      </c>
      <c r="B44" s="38" t="s">
        <v>165</v>
      </c>
      <c r="C44" s="38" t="s">
        <v>166</v>
      </c>
      <c r="D44" s="38" t="str">
        <f>"880906"</f>
        <v>880906</v>
      </c>
      <c r="E44" s="38" t="s">
        <v>167</v>
      </c>
      <c r="F44" s="38" t="s">
        <v>168</v>
      </c>
    </row>
    <row r="45" ht="13.5" spans="1:6">
      <c r="A45" s="38" t="str">
        <f>"399986"</f>
        <v>399986</v>
      </c>
      <c r="B45" s="38" t="s">
        <v>169</v>
      </c>
      <c r="C45" s="38" t="s">
        <v>170</v>
      </c>
      <c r="D45" s="38" t="str">
        <f>"880532"</f>
        <v>880532</v>
      </c>
      <c r="E45" s="38" t="s">
        <v>171</v>
      </c>
      <c r="F45" s="38" t="s">
        <v>172</v>
      </c>
    </row>
    <row r="46" ht="13.5" spans="1:6">
      <c r="A46" s="38" t="str">
        <f>"399361"</f>
        <v>399361</v>
      </c>
      <c r="B46" s="38" t="s">
        <v>173</v>
      </c>
      <c r="C46" s="38" t="s">
        <v>170</v>
      </c>
      <c r="D46" s="38" t="str">
        <f>"880696"</f>
        <v>880696</v>
      </c>
      <c r="E46" s="38" t="s">
        <v>174</v>
      </c>
      <c r="F46" s="38" t="s">
        <v>175</v>
      </c>
    </row>
    <row r="47" ht="13.5" spans="1:6">
      <c r="A47" s="38" t="str">
        <f>"399359"</f>
        <v>399359</v>
      </c>
      <c r="B47" s="38" t="s">
        <v>176</v>
      </c>
      <c r="C47" s="38" t="s">
        <v>170</v>
      </c>
      <c r="D47" s="38" t="str">
        <f>"880400"</f>
        <v>880400</v>
      </c>
      <c r="E47" s="38" t="s">
        <v>177</v>
      </c>
      <c r="F47" s="38" t="s">
        <v>178</v>
      </c>
    </row>
    <row r="48" ht="13.5" spans="1:6">
      <c r="A48" s="38" t="str">
        <f>"399356"</f>
        <v>399356</v>
      </c>
      <c r="B48" s="38" t="s">
        <v>179</v>
      </c>
      <c r="C48" s="38" t="s">
        <v>170</v>
      </c>
      <c r="D48" s="38" t="str">
        <f>"880720"</f>
        <v>880720</v>
      </c>
      <c r="E48" s="38" t="s">
        <v>180</v>
      </c>
      <c r="F48" s="38" t="s">
        <v>181</v>
      </c>
    </row>
    <row r="49" ht="13.5" spans="1:6">
      <c r="A49" s="38" t="str">
        <f>"399355"</f>
        <v>399355</v>
      </c>
      <c r="B49" s="38" t="s">
        <v>182</v>
      </c>
      <c r="C49" s="38" t="s">
        <v>170</v>
      </c>
      <c r="D49" s="38" t="str">
        <f>"880876"</f>
        <v>880876</v>
      </c>
      <c r="E49" s="38" t="s">
        <v>183</v>
      </c>
      <c r="F49" s="38" t="s">
        <v>184</v>
      </c>
    </row>
    <row r="50" ht="13.5" spans="1:6">
      <c r="A50" s="38" t="str">
        <f>"399320"</f>
        <v>399320</v>
      </c>
      <c r="B50" s="38" t="s">
        <v>185</v>
      </c>
      <c r="C50" s="38" t="s">
        <v>170</v>
      </c>
      <c r="D50" s="38" t="str">
        <f>"880941"</f>
        <v>880941</v>
      </c>
      <c r="E50" s="38" t="s">
        <v>186</v>
      </c>
      <c r="F50" s="38" t="s">
        <v>187</v>
      </c>
    </row>
    <row r="51" ht="13.5" spans="1:6">
      <c r="A51" s="38" t="str">
        <f>"880677"</f>
        <v>880677</v>
      </c>
      <c r="B51" s="38" t="s">
        <v>188</v>
      </c>
      <c r="C51" s="38" t="s">
        <v>170</v>
      </c>
      <c r="D51" s="38" t="str">
        <f>"880688"</f>
        <v>880688</v>
      </c>
      <c r="E51" s="38" t="s">
        <v>189</v>
      </c>
      <c r="F51" s="38" t="s">
        <v>190</v>
      </c>
    </row>
    <row r="52" ht="13.5" spans="1:6">
      <c r="A52" s="38" t="str">
        <f>"000011"</f>
        <v>000011</v>
      </c>
      <c r="B52" s="38" t="s">
        <v>191</v>
      </c>
      <c r="C52" s="38" t="s">
        <v>170</v>
      </c>
      <c r="D52" s="38" t="str">
        <f>"880911"</f>
        <v>880911</v>
      </c>
      <c r="E52" s="38" t="s">
        <v>192</v>
      </c>
      <c r="F52" s="38" t="s">
        <v>193</v>
      </c>
    </row>
    <row r="53" ht="13.5" spans="1:6">
      <c r="A53" s="39"/>
      <c r="B53" s="39"/>
      <c r="C53" s="39"/>
      <c r="D53" s="38" t="str">
        <f>"880901"</f>
        <v>880901</v>
      </c>
      <c r="E53" s="38" t="s">
        <v>194</v>
      </c>
      <c r="F53" s="38" t="s">
        <v>195</v>
      </c>
    </row>
    <row r="54" ht="13.5" spans="1:6">
      <c r="A54" s="39"/>
      <c r="B54" s="39"/>
      <c r="C54" s="39"/>
      <c r="D54" s="38" t="str">
        <f>"880726"</f>
        <v>880726</v>
      </c>
      <c r="E54" s="38" t="s">
        <v>196</v>
      </c>
      <c r="F54" s="38" t="s">
        <v>197</v>
      </c>
    </row>
    <row r="55" ht="13.5" spans="1:6">
      <c r="A55" s="39"/>
      <c r="B55" s="39"/>
      <c r="C55" s="39"/>
      <c r="D55" s="38" t="str">
        <f>"880686"</f>
        <v>880686</v>
      </c>
      <c r="E55" s="38" t="s">
        <v>198</v>
      </c>
      <c r="F55" s="38" t="s">
        <v>199</v>
      </c>
    </row>
    <row r="56" ht="13.5" spans="1:6">
      <c r="A56" s="39"/>
      <c r="B56" s="39"/>
      <c r="C56" s="39"/>
      <c r="D56" s="38" t="str">
        <f>"880748"</f>
        <v>880748</v>
      </c>
      <c r="E56" s="38" t="s">
        <v>200</v>
      </c>
      <c r="F56" s="38" t="s">
        <v>201</v>
      </c>
    </row>
    <row r="57" ht="13.5" spans="1:6">
      <c r="A57" s="39"/>
      <c r="B57" s="39"/>
      <c r="C57" s="39"/>
      <c r="D57" s="38" t="str">
        <f>"880969"</f>
        <v>880969</v>
      </c>
      <c r="E57" s="38" t="s">
        <v>202</v>
      </c>
      <c r="F57" s="38" t="s">
        <v>203</v>
      </c>
    </row>
    <row r="58" ht="13.5" spans="1:6">
      <c r="A58" s="39"/>
      <c r="B58" s="39"/>
      <c r="C58" s="39"/>
      <c r="D58" s="38" t="str">
        <f>"880693"</f>
        <v>880693</v>
      </c>
      <c r="E58" s="38" t="s">
        <v>204</v>
      </c>
      <c r="F58" s="38" t="s">
        <v>205</v>
      </c>
    </row>
    <row r="59" ht="13.5" spans="1:6">
      <c r="A59" s="39"/>
      <c r="B59" s="39"/>
      <c r="C59" s="39"/>
      <c r="D59" s="38" t="str">
        <f>"880816"</f>
        <v>880816</v>
      </c>
      <c r="E59" s="38" t="s">
        <v>206</v>
      </c>
      <c r="F59" s="38" t="s">
        <v>207</v>
      </c>
    </row>
    <row r="60" ht="13.5" spans="1:6">
      <c r="A60" s="39"/>
      <c r="B60" s="39"/>
      <c r="C60" s="39"/>
      <c r="D60" s="38" t="str">
        <f>"880738"</f>
        <v>880738</v>
      </c>
      <c r="E60" s="38" t="s">
        <v>208</v>
      </c>
      <c r="F60" s="38" t="s">
        <v>209</v>
      </c>
    </row>
    <row r="61" ht="13.5" spans="1:6">
      <c r="A61" s="39"/>
      <c r="B61" s="39"/>
      <c r="C61" s="39"/>
      <c r="D61" s="38" t="str">
        <f>"880224"</f>
        <v>880224</v>
      </c>
      <c r="E61" s="38" t="s">
        <v>210</v>
      </c>
      <c r="F61" s="38" t="s">
        <v>211</v>
      </c>
    </row>
    <row r="62" ht="13.5" spans="1:6">
      <c r="A62" s="39"/>
      <c r="B62" s="39"/>
      <c r="C62" s="39"/>
      <c r="D62" s="38" t="str">
        <f>"880525"</f>
        <v>880525</v>
      </c>
      <c r="E62" s="38" t="s">
        <v>212</v>
      </c>
      <c r="F62" s="38" t="s">
        <v>213</v>
      </c>
    </row>
    <row r="63" ht="13.5" spans="1:6">
      <c r="A63" s="39"/>
      <c r="B63" s="39"/>
      <c r="C63" s="39"/>
      <c r="D63" s="38" t="str">
        <f>"880229"</f>
        <v>880229</v>
      </c>
      <c r="E63" s="38" t="s">
        <v>214</v>
      </c>
      <c r="F63" s="38" t="s">
        <v>215</v>
      </c>
    </row>
    <row r="64" ht="13.5" spans="1:6">
      <c r="A64" s="39"/>
      <c r="B64" s="39"/>
      <c r="C64" s="39"/>
      <c r="D64" s="38" t="str">
        <f>"880965"</f>
        <v>880965</v>
      </c>
      <c r="E64" s="38" t="s">
        <v>216</v>
      </c>
      <c r="F64" s="38" t="s">
        <v>217</v>
      </c>
    </row>
    <row r="65" ht="13.5" spans="1:6">
      <c r="A65" s="39"/>
      <c r="B65" s="39"/>
      <c r="C65" s="39"/>
      <c r="D65" s="38" t="str">
        <f>"880531"</f>
        <v>880531</v>
      </c>
      <c r="E65" s="38" t="s">
        <v>218</v>
      </c>
      <c r="F65" s="38" t="s">
        <v>219</v>
      </c>
    </row>
    <row r="66" ht="13.5" spans="1:6">
      <c r="A66" s="39"/>
      <c r="B66" s="39"/>
      <c r="C66" s="39"/>
      <c r="D66" s="38" t="str">
        <f>"880577"</f>
        <v>880577</v>
      </c>
      <c r="E66" s="38" t="s">
        <v>220</v>
      </c>
      <c r="F66" s="38" t="s">
        <v>221</v>
      </c>
    </row>
    <row r="67" ht="13.5" spans="1:6">
      <c r="A67" s="39"/>
      <c r="B67" s="39"/>
      <c r="C67" s="39"/>
      <c r="D67" s="38" t="str">
        <f>"880221"</f>
        <v>880221</v>
      </c>
      <c r="E67" s="38" t="s">
        <v>222</v>
      </c>
      <c r="F67" s="38" t="s">
        <v>223</v>
      </c>
    </row>
    <row r="68" ht="13.5" spans="1:6">
      <c r="A68" s="39"/>
      <c r="B68" s="39"/>
      <c r="C68" s="39"/>
      <c r="D68" s="38" t="str">
        <f>"880476"</f>
        <v>880476</v>
      </c>
      <c r="E68" s="38" t="s">
        <v>224</v>
      </c>
      <c r="F68" s="38" t="s">
        <v>225</v>
      </c>
    </row>
    <row r="69" ht="13.5" spans="1:6">
      <c r="A69" s="39"/>
      <c r="B69" s="39"/>
      <c r="C69" s="39"/>
      <c r="D69" s="38" t="str">
        <f>"880913"</f>
        <v>880913</v>
      </c>
      <c r="E69" s="38" t="s">
        <v>226</v>
      </c>
      <c r="F69" s="38" t="s">
        <v>227</v>
      </c>
    </row>
    <row r="70" ht="13.5" spans="1:6">
      <c r="A70" s="39"/>
      <c r="B70" s="39"/>
      <c r="C70" s="39"/>
      <c r="D70" s="38" t="str">
        <f>"880593"</f>
        <v>880593</v>
      </c>
      <c r="E70" s="38" t="s">
        <v>228</v>
      </c>
      <c r="F70" s="38" t="s">
        <v>229</v>
      </c>
    </row>
    <row r="71" ht="13.5" spans="1:6">
      <c r="A71" s="39"/>
      <c r="B71" s="39"/>
      <c r="C71" s="39"/>
      <c r="D71" s="38" t="str">
        <f>"880743"</f>
        <v>880743</v>
      </c>
      <c r="E71" s="38" t="s">
        <v>230</v>
      </c>
      <c r="F71" s="38" t="s">
        <v>231</v>
      </c>
    </row>
    <row r="72" ht="13.5" spans="1:6">
      <c r="A72" s="39"/>
      <c r="B72" s="39"/>
      <c r="C72" s="39"/>
      <c r="D72" s="38" t="str">
        <f>"880590"</f>
        <v>880590</v>
      </c>
      <c r="E72" s="38" t="s">
        <v>232</v>
      </c>
      <c r="F72" s="38" t="s">
        <v>233</v>
      </c>
    </row>
    <row r="73" ht="13.5" spans="1:6">
      <c r="A73" s="39"/>
      <c r="B73" s="39"/>
      <c r="C73" s="39"/>
      <c r="D73" s="38" t="str">
        <f>"880960"</f>
        <v>880960</v>
      </c>
      <c r="E73" s="38" t="s">
        <v>234</v>
      </c>
      <c r="F73" s="38" t="s">
        <v>235</v>
      </c>
    </row>
    <row r="74" ht="13.5" spans="1:6">
      <c r="A74" s="39"/>
      <c r="B74" s="39"/>
      <c r="C74" s="39"/>
      <c r="D74" s="38" t="str">
        <f>"880848"</f>
        <v>880848</v>
      </c>
      <c r="E74" s="38" t="s">
        <v>236</v>
      </c>
      <c r="F74" s="38" t="s">
        <v>237</v>
      </c>
    </row>
    <row r="75" ht="13.5" spans="1:6">
      <c r="A75" s="39"/>
      <c r="B75" s="39"/>
      <c r="C75" s="39"/>
      <c r="D75" s="38" t="str">
        <f>"880651"</f>
        <v>880651</v>
      </c>
      <c r="E75" s="38" t="s">
        <v>238</v>
      </c>
      <c r="F75" s="38" t="s">
        <v>239</v>
      </c>
    </row>
    <row r="76" ht="13.5" spans="1:6">
      <c r="A76" s="39"/>
      <c r="B76" s="39"/>
      <c r="C76" s="39"/>
      <c r="D76" s="38" t="str">
        <f>"880875"</f>
        <v>880875</v>
      </c>
      <c r="E76" s="38" t="s">
        <v>240</v>
      </c>
      <c r="F76" s="38" t="s">
        <v>241</v>
      </c>
    </row>
    <row r="77" ht="13.5" spans="1:6">
      <c r="A77" s="39"/>
      <c r="B77" s="39"/>
      <c r="C77" s="39"/>
      <c r="D77" s="38" t="str">
        <f>"880879"</f>
        <v>880879</v>
      </c>
      <c r="E77" s="38" t="s">
        <v>242</v>
      </c>
      <c r="F77" s="38" t="s">
        <v>243</v>
      </c>
    </row>
    <row r="78" ht="13.5" spans="1:6">
      <c r="A78" s="39"/>
      <c r="B78" s="39"/>
      <c r="C78" s="39"/>
      <c r="D78" s="38" t="str">
        <f>"880610"</f>
        <v>880610</v>
      </c>
      <c r="E78" s="38" t="s">
        <v>244</v>
      </c>
      <c r="F78" s="38" t="s">
        <v>245</v>
      </c>
    </row>
    <row r="79" ht="13.5" spans="1:6">
      <c r="A79" s="39"/>
      <c r="B79" s="39"/>
      <c r="C79" s="39"/>
      <c r="D79" s="38" t="str">
        <f>"880623"</f>
        <v>880623</v>
      </c>
      <c r="E79" s="38" t="s">
        <v>246</v>
      </c>
      <c r="F79" s="38" t="s">
        <v>247</v>
      </c>
    </row>
    <row r="80" ht="13.5" spans="1:6">
      <c r="A80" s="39"/>
      <c r="B80" s="39"/>
      <c r="C80" s="39"/>
      <c r="D80" s="38" t="str">
        <f>"880947"</f>
        <v>880947</v>
      </c>
      <c r="E80" s="38" t="s">
        <v>248</v>
      </c>
      <c r="F80" s="38" t="s">
        <v>249</v>
      </c>
    </row>
    <row r="81" ht="13.5" spans="1:6">
      <c r="A81" s="39"/>
      <c r="B81" s="39"/>
      <c r="C81" s="39"/>
      <c r="D81" s="38" t="str">
        <f>"880596"</f>
        <v>880596</v>
      </c>
      <c r="E81" s="38" t="s">
        <v>250</v>
      </c>
      <c r="F81" s="38" t="s">
        <v>251</v>
      </c>
    </row>
    <row r="82" ht="16.5" spans="1:6">
      <c r="A82" s="26"/>
      <c r="B82" s="26"/>
      <c r="C82" s="26"/>
      <c r="D82" s="38" t="str">
        <f>"880782"</f>
        <v>880782</v>
      </c>
      <c r="E82" s="38" t="s">
        <v>252</v>
      </c>
      <c r="F82" s="38" t="s">
        <v>253</v>
      </c>
    </row>
    <row r="83" ht="16.5" spans="1:6">
      <c r="A83" s="26"/>
      <c r="B83" s="26"/>
      <c r="C83" s="26"/>
      <c r="D83" s="38" t="str">
        <f>"880494"</f>
        <v>880494</v>
      </c>
      <c r="E83" s="38" t="s">
        <v>254</v>
      </c>
      <c r="F83" s="38" t="s">
        <v>255</v>
      </c>
    </row>
    <row r="84" ht="16.5" spans="1:6">
      <c r="A84" s="26"/>
      <c r="B84" s="26"/>
      <c r="C84" s="26"/>
      <c r="D84" s="38" t="str">
        <f>"880692"</f>
        <v>880692</v>
      </c>
      <c r="E84" s="38" t="s">
        <v>256</v>
      </c>
      <c r="F84" s="38" t="s">
        <v>257</v>
      </c>
    </row>
    <row r="85" ht="16.5" spans="1:6">
      <c r="A85" s="26"/>
      <c r="B85" s="26"/>
      <c r="C85" s="26"/>
      <c r="D85" s="38" t="str">
        <f>"880557"</f>
        <v>880557</v>
      </c>
      <c r="E85" s="38" t="s">
        <v>258</v>
      </c>
      <c r="F85" s="38" t="s">
        <v>259</v>
      </c>
    </row>
    <row r="86" ht="16.5" spans="1:6">
      <c r="A86" s="26"/>
      <c r="B86" s="26"/>
      <c r="C86" s="26"/>
      <c r="D86" s="38" t="str">
        <f>"880908"</f>
        <v>880908</v>
      </c>
      <c r="E86" s="38" t="s">
        <v>260</v>
      </c>
      <c r="F86" s="38" t="s">
        <v>261</v>
      </c>
    </row>
    <row r="87" ht="16.5" spans="1:6">
      <c r="A87" s="26"/>
      <c r="B87" s="26"/>
      <c r="C87" s="26"/>
      <c r="D87" s="38" t="str">
        <f>"880615"</f>
        <v>880615</v>
      </c>
      <c r="E87" s="38" t="s">
        <v>262</v>
      </c>
      <c r="F87" s="38" t="s">
        <v>263</v>
      </c>
    </row>
    <row r="88" ht="16.5" spans="1:6">
      <c r="A88" s="26"/>
      <c r="B88" s="26"/>
      <c r="C88" s="26"/>
      <c r="D88" s="38" t="str">
        <f>"880447"</f>
        <v>880447</v>
      </c>
      <c r="E88" s="38" t="s">
        <v>264</v>
      </c>
      <c r="F88" s="38" t="s">
        <v>265</v>
      </c>
    </row>
    <row r="89" ht="16.5" spans="1:6">
      <c r="A89" s="26"/>
      <c r="B89" s="26"/>
      <c r="C89" s="26"/>
      <c r="D89" s="38" t="str">
        <f>"880929"</f>
        <v>880929</v>
      </c>
      <c r="E89" s="38" t="s">
        <v>266</v>
      </c>
      <c r="F89" s="38" t="s">
        <v>267</v>
      </c>
    </row>
    <row r="90" ht="16.5" spans="1:6">
      <c r="A90" s="26"/>
      <c r="B90" s="26"/>
      <c r="C90" s="26"/>
      <c r="D90" s="38" t="str">
        <f>"880648"</f>
        <v>880648</v>
      </c>
      <c r="E90" s="38" t="s">
        <v>268</v>
      </c>
      <c r="F90" s="38" t="s">
        <v>269</v>
      </c>
    </row>
    <row r="91" ht="16.5" spans="1:6">
      <c r="A91" s="26"/>
      <c r="B91" s="26"/>
      <c r="C91" s="26"/>
      <c r="D91" s="38" t="str">
        <f>"880562"</f>
        <v>880562</v>
      </c>
      <c r="E91" s="38" t="s">
        <v>270</v>
      </c>
      <c r="F91" s="38" t="s">
        <v>271</v>
      </c>
    </row>
    <row r="92" ht="16.5" spans="1:6">
      <c r="A92" s="26"/>
      <c r="B92" s="26"/>
      <c r="C92" s="26"/>
      <c r="D92" s="38" t="str">
        <f>"880814"</f>
        <v>880814</v>
      </c>
      <c r="E92" s="38" t="s">
        <v>272</v>
      </c>
      <c r="F92" s="38" t="s">
        <v>273</v>
      </c>
    </row>
    <row r="93" ht="16.5" spans="1:6">
      <c r="A93" s="26"/>
      <c r="B93" s="26"/>
      <c r="C93" s="26"/>
      <c r="D93" s="38" t="str">
        <f>"880766"</f>
        <v>880766</v>
      </c>
      <c r="E93" s="38" t="s">
        <v>274</v>
      </c>
      <c r="F93" s="38" t="s">
        <v>275</v>
      </c>
    </row>
    <row r="94" ht="16.5" spans="1:6">
      <c r="A94" s="26"/>
      <c r="B94" s="26"/>
      <c r="C94" s="26"/>
      <c r="D94" s="38" t="str">
        <f>"880367"</f>
        <v>880367</v>
      </c>
      <c r="E94" s="38" t="s">
        <v>276</v>
      </c>
      <c r="F94" s="38" t="s">
        <v>277</v>
      </c>
    </row>
    <row r="95" ht="16.5" spans="1:6">
      <c r="A95" s="26"/>
      <c r="B95" s="26"/>
      <c r="C95" s="26"/>
      <c r="D95" s="38" t="str">
        <f>"880650"</f>
        <v>880650</v>
      </c>
      <c r="E95" s="38" t="s">
        <v>278</v>
      </c>
      <c r="F95" s="38" t="s">
        <v>279</v>
      </c>
    </row>
    <row r="96" ht="16.5" spans="1:6">
      <c r="A96" s="26"/>
      <c r="B96" s="26"/>
      <c r="C96" s="26"/>
      <c r="D96" s="38" t="str">
        <f>"880718"</f>
        <v>880718</v>
      </c>
      <c r="E96" s="38" t="s">
        <v>280</v>
      </c>
      <c r="F96" s="38" t="s">
        <v>281</v>
      </c>
    </row>
    <row r="97" ht="16.5" spans="1:6">
      <c r="A97" s="26"/>
      <c r="B97" s="26"/>
      <c r="C97" s="26"/>
      <c r="D97" s="38" t="str">
        <f>"880563"</f>
        <v>880563</v>
      </c>
      <c r="E97" s="38" t="s">
        <v>282</v>
      </c>
      <c r="F97" s="38" t="s">
        <v>283</v>
      </c>
    </row>
    <row r="98" ht="16.5" spans="1:6">
      <c r="A98" s="26"/>
      <c r="B98" s="26"/>
      <c r="C98" s="26"/>
      <c r="D98" s="38" t="str">
        <f>"880807"</f>
        <v>880807</v>
      </c>
      <c r="E98" s="38" t="s">
        <v>284</v>
      </c>
      <c r="F98" s="38" t="s">
        <v>285</v>
      </c>
    </row>
    <row r="99" ht="16.5" spans="1:6">
      <c r="A99" s="26"/>
      <c r="B99" s="26"/>
      <c r="C99" s="26"/>
      <c r="D99" s="38" t="str">
        <f>"880953"</f>
        <v>880953</v>
      </c>
      <c r="E99" s="38" t="s">
        <v>286</v>
      </c>
      <c r="F99" s="38" t="s">
        <v>287</v>
      </c>
    </row>
    <row r="100" ht="16.5" spans="1:6">
      <c r="A100" s="26"/>
      <c r="B100" s="26"/>
      <c r="C100" s="26"/>
      <c r="D100" s="38" t="str">
        <f>"880351"</f>
        <v>880351</v>
      </c>
      <c r="E100" s="38" t="s">
        <v>288</v>
      </c>
      <c r="F100" s="38" t="s">
        <v>289</v>
      </c>
    </row>
    <row r="101" ht="16.5" spans="1:6">
      <c r="A101" s="26"/>
      <c r="B101" s="26"/>
      <c r="C101" s="26"/>
      <c r="D101" s="38" t="str">
        <f>"880767"</f>
        <v>880767</v>
      </c>
      <c r="E101" s="38" t="s">
        <v>290</v>
      </c>
      <c r="F101" s="38" t="s">
        <v>291</v>
      </c>
    </row>
    <row r="102" ht="16.5" spans="1:6">
      <c r="A102" s="26"/>
      <c r="B102" s="26"/>
      <c r="C102" s="26"/>
      <c r="D102" s="38" t="str">
        <f>"880626"</f>
        <v>880626</v>
      </c>
      <c r="E102" s="38" t="s">
        <v>292</v>
      </c>
      <c r="F102" s="38" t="s">
        <v>293</v>
      </c>
    </row>
    <row r="103" ht="16.5" spans="1:6">
      <c r="A103" s="26"/>
      <c r="B103" s="26"/>
      <c r="C103" s="26"/>
      <c r="D103" s="38" t="str">
        <f>"880717"</f>
        <v>880717</v>
      </c>
      <c r="E103" s="38" t="s">
        <v>294</v>
      </c>
      <c r="F103" s="38" t="s">
        <v>295</v>
      </c>
    </row>
    <row r="104" ht="16.5" spans="1:6">
      <c r="A104" s="26"/>
      <c r="B104" s="26"/>
      <c r="C104" s="26"/>
      <c r="D104" s="38" t="str">
        <f>"880745"</f>
        <v>880745</v>
      </c>
      <c r="E104" s="38" t="s">
        <v>296</v>
      </c>
      <c r="F104" s="38" t="s">
        <v>297</v>
      </c>
    </row>
    <row r="105" ht="16.5" spans="1:6">
      <c r="A105" s="26"/>
      <c r="B105" s="26"/>
      <c r="C105" s="26"/>
      <c r="D105" s="38" t="str">
        <f>"880350"</f>
        <v>880350</v>
      </c>
      <c r="E105" s="38" t="s">
        <v>298</v>
      </c>
      <c r="F105" s="38" t="s">
        <v>299</v>
      </c>
    </row>
    <row r="106" ht="16.5" spans="1:6">
      <c r="A106" s="26"/>
      <c r="B106" s="26"/>
      <c r="C106" s="26"/>
      <c r="D106" s="38" t="str">
        <f>"880657"</f>
        <v>880657</v>
      </c>
      <c r="E106" s="38" t="s">
        <v>300</v>
      </c>
      <c r="F106" s="38" t="s">
        <v>301</v>
      </c>
    </row>
    <row r="107" ht="16.5" spans="1:6">
      <c r="A107" s="26"/>
      <c r="B107" s="26"/>
      <c r="C107" s="26"/>
      <c r="D107" s="38" t="str">
        <f>"880598"</f>
        <v>880598</v>
      </c>
      <c r="E107" s="38" t="s">
        <v>302</v>
      </c>
      <c r="F107" s="38" t="s">
        <v>303</v>
      </c>
    </row>
    <row r="108" ht="16.5" spans="1:6">
      <c r="A108" s="26"/>
      <c r="B108" s="26"/>
      <c r="C108" s="26"/>
      <c r="D108" s="38" t="str">
        <f>"880889"</f>
        <v>880889</v>
      </c>
      <c r="E108" s="38" t="s">
        <v>304</v>
      </c>
      <c r="F108" s="38" t="s">
        <v>305</v>
      </c>
    </row>
    <row r="109" ht="16.5" spans="1:6">
      <c r="A109" s="26"/>
      <c r="B109" s="26"/>
      <c r="C109" s="26"/>
      <c r="D109" s="38" t="str">
        <f>"000003"</f>
        <v>000003</v>
      </c>
      <c r="E109" s="38" t="s">
        <v>306</v>
      </c>
      <c r="F109" s="38" t="s">
        <v>307</v>
      </c>
    </row>
    <row r="110" ht="16.5" spans="1:6">
      <c r="A110" s="26"/>
      <c r="B110" s="26"/>
      <c r="C110" s="26"/>
      <c r="D110" s="38" t="str">
        <f>"880903"</f>
        <v>880903</v>
      </c>
      <c r="E110" s="38" t="s">
        <v>308</v>
      </c>
      <c r="F110" s="38" t="s">
        <v>309</v>
      </c>
    </row>
    <row r="111" ht="16.5" spans="1:6">
      <c r="A111" s="26"/>
      <c r="B111" s="26"/>
      <c r="C111" s="26"/>
      <c r="D111" s="38" t="str">
        <f>"399348"</f>
        <v>399348</v>
      </c>
      <c r="E111" s="38" t="s">
        <v>310</v>
      </c>
      <c r="F111" s="38" t="s">
        <v>170</v>
      </c>
    </row>
    <row r="112" ht="16.5" spans="1:6">
      <c r="A112" s="26"/>
      <c r="B112" s="26"/>
      <c r="C112" s="26"/>
      <c r="D112" s="38" t="str">
        <f>"399324"</f>
        <v>399324</v>
      </c>
      <c r="E112" s="38" t="s">
        <v>311</v>
      </c>
      <c r="F112" s="38" t="s">
        <v>170</v>
      </c>
    </row>
    <row r="113" ht="16.5" spans="1:6">
      <c r="A113" s="26"/>
      <c r="B113" s="26"/>
      <c r="C113" s="26"/>
      <c r="D113" s="38" t="str">
        <f>"399306"</f>
        <v>399306</v>
      </c>
      <c r="E113" s="38" t="s">
        <v>312</v>
      </c>
      <c r="F113" s="38" t="s">
        <v>170</v>
      </c>
    </row>
    <row r="114" ht="16.5" spans="1:6">
      <c r="A114" s="26"/>
      <c r="B114" s="26"/>
      <c r="C114" s="26"/>
      <c r="D114" s="38" t="str">
        <f>"399295"</f>
        <v>399295</v>
      </c>
      <c r="E114" s="38" t="s">
        <v>313</v>
      </c>
      <c r="F114" s="38" t="s">
        <v>170</v>
      </c>
    </row>
    <row r="115" ht="16.5" spans="1:6">
      <c r="A115" s="26"/>
      <c r="B115" s="26"/>
      <c r="C115" s="26"/>
      <c r="D115" s="38" t="str">
        <f>"399020"</f>
        <v>399020</v>
      </c>
      <c r="E115" s="38" t="s">
        <v>314</v>
      </c>
      <c r="F115" s="38" t="s">
        <v>170</v>
      </c>
    </row>
    <row r="116" ht="16.5" spans="1:6">
      <c r="A116" s="26"/>
      <c r="B116" s="26"/>
      <c r="C116" s="26"/>
      <c r="D116" s="38" t="str">
        <f>"399019"</f>
        <v>399019</v>
      </c>
      <c r="E116" s="38" t="s">
        <v>315</v>
      </c>
      <c r="F116" s="38" t="s">
        <v>170</v>
      </c>
    </row>
    <row r="117" ht="16.5" spans="1:6">
      <c r="A117" s="26"/>
      <c r="B117" s="26"/>
      <c r="C117" s="26"/>
      <c r="D117" s="38" t="str">
        <f>"880676"</f>
        <v>880676</v>
      </c>
      <c r="E117" s="38" t="s">
        <v>316</v>
      </c>
      <c r="F117" s="38" t="s">
        <v>170</v>
      </c>
    </row>
    <row r="118" ht="16.5" spans="1:6">
      <c r="A118" s="26"/>
      <c r="B118" s="26"/>
      <c r="C118" s="26"/>
      <c r="D118" s="38" t="str">
        <f>"000159"</f>
        <v>000159</v>
      </c>
      <c r="E118" s="38" t="s">
        <v>317</v>
      </c>
      <c r="F118" s="38" t="s">
        <v>170</v>
      </c>
    </row>
    <row r="119" ht="16.5" spans="1:6">
      <c r="A119" s="26"/>
      <c r="B119" s="26"/>
      <c r="C119" s="26"/>
      <c r="D119" s="38" t="str">
        <f>"000044"</f>
        <v>000044</v>
      </c>
      <c r="E119" s="38" t="s">
        <v>318</v>
      </c>
      <c r="F119" s="38" t="s">
        <v>170</v>
      </c>
    </row>
    <row r="120" ht="16.5" spans="1:6">
      <c r="A120" s="26"/>
      <c r="B120" s="26"/>
      <c r="C120" s="26"/>
      <c r="D120" s="38" t="str">
        <f>"000043"</f>
        <v>000043</v>
      </c>
      <c r="E120" s="38" t="s">
        <v>319</v>
      </c>
      <c r="F120" s="38" t="s">
        <v>170</v>
      </c>
    </row>
    <row r="121" ht="16.5" spans="1:6">
      <c r="A121" s="26"/>
      <c r="B121" s="26"/>
      <c r="C121" s="26"/>
      <c r="D121" s="38" t="str">
        <f>"000019"</f>
        <v>000019</v>
      </c>
      <c r="E121" s="38" t="s">
        <v>320</v>
      </c>
      <c r="F121" s="38" t="s">
        <v>170</v>
      </c>
    </row>
    <row r="122" ht="16.5" spans="1:6">
      <c r="A122" s="26"/>
      <c r="B122" s="26"/>
      <c r="C122" s="26"/>
      <c r="D122" s="38" t="str">
        <f>"999997"</f>
        <v>999997</v>
      </c>
      <c r="E122" s="38" t="s">
        <v>306</v>
      </c>
      <c r="F122" s="38" t="s">
        <v>170</v>
      </c>
    </row>
    <row r="123" ht="16.5" spans="1:6">
      <c r="A123" s="26"/>
      <c r="B123" s="26"/>
      <c r="C123" s="26"/>
      <c r="D123" s="38" t="str">
        <f>"999998"</f>
        <v>999998</v>
      </c>
      <c r="E123" s="38" t="s">
        <v>17</v>
      </c>
      <c r="F123" s="38" t="s">
        <v>170</v>
      </c>
    </row>
    <row r="124" ht="16.5" spans="1:6">
      <c r="A124" s="26"/>
      <c r="B124" s="26"/>
      <c r="C124" s="26"/>
      <c r="D124" s="38" t="str">
        <f>"399974"</f>
        <v>399974</v>
      </c>
      <c r="E124" s="38" t="s">
        <v>321</v>
      </c>
      <c r="F124" s="38" t="s">
        <v>170</v>
      </c>
    </row>
    <row r="125" ht="16.5" spans="1:6">
      <c r="A125" s="26"/>
      <c r="B125" s="26"/>
      <c r="C125" s="26"/>
      <c r="D125" s="38" t="str">
        <f>"399903"</f>
        <v>399903</v>
      </c>
      <c r="E125" s="38" t="s">
        <v>322</v>
      </c>
      <c r="F125" s="38" t="s">
        <v>170</v>
      </c>
    </row>
    <row r="126" ht="16.5" spans="1:6">
      <c r="A126" s="26"/>
      <c r="B126" s="26"/>
      <c r="C126" s="26"/>
      <c r="D126" s="38" t="str">
        <f>"399807"</f>
        <v>399807</v>
      </c>
      <c r="E126" s="38" t="s">
        <v>323</v>
      </c>
      <c r="F126" s="38" t="s">
        <v>170</v>
      </c>
    </row>
    <row r="127" ht="16.5" spans="1:6">
      <c r="A127" s="26"/>
      <c r="B127" s="26"/>
      <c r="C127" s="26"/>
      <c r="D127" s="38" t="str">
        <f>"399371"</f>
        <v>399371</v>
      </c>
      <c r="E127" s="38" t="s">
        <v>324</v>
      </c>
      <c r="F127" s="38" t="s">
        <v>170</v>
      </c>
    </row>
    <row r="128" ht="16.5" spans="1:6">
      <c r="A128" s="26"/>
      <c r="B128" s="26"/>
      <c r="C128" s="26"/>
      <c r="D128" s="38" t="str">
        <f>"399360"</f>
        <v>399360</v>
      </c>
      <c r="E128" s="38" t="s">
        <v>325</v>
      </c>
      <c r="F128" s="38" t="s">
        <v>170</v>
      </c>
    </row>
    <row r="129" ht="16.5" spans="1:6">
      <c r="A129" s="26"/>
      <c r="B129" s="26"/>
      <c r="C129" s="26"/>
      <c r="D129" s="38" t="str">
        <f>"399354"</f>
        <v>399354</v>
      </c>
      <c r="E129" s="38" t="s">
        <v>326</v>
      </c>
      <c r="F129" s="38" t="s">
        <v>170</v>
      </c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4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327</v>
      </c>
      <c r="B1" s="2"/>
      <c r="C1" s="2"/>
      <c r="D1" s="2"/>
      <c r="E1" s="2"/>
      <c r="F1" s="2"/>
      <c r="G1" s="2"/>
      <c r="H1" s="2"/>
      <c r="I1" s="2"/>
      <c r="J1" s="2"/>
      <c r="K1" s="1" t="s">
        <v>328</v>
      </c>
      <c r="L1" s="1"/>
      <c r="M1" s="1"/>
      <c r="N1" s="1"/>
      <c r="O1" s="1"/>
      <c r="P1" s="1"/>
      <c r="Q1" s="1"/>
      <c r="R1" s="1"/>
    </row>
    <row r="2" ht="22.5" spans="1:18">
      <c r="A2" s="3" t="s">
        <v>329</v>
      </c>
      <c r="B2" s="4" t="s">
        <v>330</v>
      </c>
      <c r="C2" s="4" t="s">
        <v>331</v>
      </c>
      <c r="D2" s="4" t="s">
        <v>332</v>
      </c>
      <c r="E2" s="4" t="s">
        <v>333</v>
      </c>
      <c r="F2" s="4" t="s">
        <v>334</v>
      </c>
      <c r="G2" s="4" t="s">
        <v>335</v>
      </c>
      <c r="H2" s="4" t="s">
        <v>336</v>
      </c>
      <c r="I2" s="4" t="s">
        <v>337</v>
      </c>
      <c r="J2" s="4" t="s">
        <v>338</v>
      </c>
      <c r="K2" s="12" t="s">
        <v>339</v>
      </c>
      <c r="L2" s="12" t="s">
        <v>340</v>
      </c>
      <c r="M2" s="12" t="s">
        <v>341</v>
      </c>
      <c r="N2" s="12" t="s">
        <v>342</v>
      </c>
      <c r="O2" s="12" t="s">
        <v>343</v>
      </c>
      <c r="P2" s="12" t="s">
        <v>344</v>
      </c>
      <c r="Q2" s="12" t="s">
        <v>345</v>
      </c>
      <c r="R2" s="12" t="s">
        <v>346</v>
      </c>
    </row>
    <row r="3" ht="16.5" spans="1:23">
      <c r="A3" s="17">
        <v>32</v>
      </c>
      <c r="B3" s="17" t="s">
        <v>347</v>
      </c>
      <c r="C3" s="17">
        <v>1886.169</v>
      </c>
      <c r="D3" s="17">
        <v>2368.132</v>
      </c>
      <c r="E3" s="17">
        <v>1</v>
      </c>
      <c r="F3" s="18">
        <v>0</v>
      </c>
      <c r="G3" s="18">
        <v>0</v>
      </c>
      <c r="H3" s="18">
        <v>1</v>
      </c>
      <c r="I3" s="18">
        <v>0.215</v>
      </c>
      <c r="J3" s="18">
        <v>20.523</v>
      </c>
      <c r="K3" s="22">
        <v>2</v>
      </c>
      <c r="L3" s="22">
        <v>0</v>
      </c>
      <c r="M3" s="22">
        <v>0</v>
      </c>
      <c r="N3" s="22">
        <v>0</v>
      </c>
      <c r="O3" s="22">
        <v>0</v>
      </c>
      <c r="P3" s="22">
        <v>1.019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7">
        <v>908</v>
      </c>
      <c r="B4" s="17" t="s">
        <v>348</v>
      </c>
      <c r="C4" s="17">
        <v>2263.158</v>
      </c>
      <c r="D4" s="17">
        <v>2758.272</v>
      </c>
      <c r="E4" s="17">
        <v>1</v>
      </c>
      <c r="F4" s="18">
        <v>0</v>
      </c>
      <c r="G4" s="18">
        <v>0</v>
      </c>
      <c r="H4" s="18">
        <v>1</v>
      </c>
      <c r="I4" s="18">
        <v>1.405</v>
      </c>
      <c r="J4" s="18">
        <v>19.103</v>
      </c>
      <c r="K4" s="22">
        <v>2</v>
      </c>
      <c r="L4" s="22">
        <v>0</v>
      </c>
      <c r="M4" s="22">
        <v>0</v>
      </c>
      <c r="N4" s="22">
        <v>0</v>
      </c>
      <c r="O4" s="22">
        <v>0</v>
      </c>
      <c r="P4" s="22">
        <v>1.076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7">
        <v>928</v>
      </c>
      <c r="B5" s="17" t="s">
        <v>349</v>
      </c>
      <c r="C5" s="17">
        <v>2851.595</v>
      </c>
      <c r="D5" s="17">
        <v>3520.358</v>
      </c>
      <c r="E5" s="17">
        <v>1</v>
      </c>
      <c r="F5" s="18">
        <v>0</v>
      </c>
      <c r="G5" s="18">
        <v>0</v>
      </c>
      <c r="H5" s="18">
        <v>1</v>
      </c>
      <c r="I5" s="18">
        <v>0.343</v>
      </c>
      <c r="J5" s="18">
        <v>19.275</v>
      </c>
      <c r="K5" s="22">
        <v>4</v>
      </c>
      <c r="L5" s="22">
        <v>0</v>
      </c>
      <c r="M5" s="22">
        <v>-1</v>
      </c>
      <c r="N5" s="22">
        <v>1</v>
      </c>
      <c r="O5" s="22">
        <v>0</v>
      </c>
      <c r="P5" s="22">
        <v>0.127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7">
        <v>986</v>
      </c>
      <c r="B6" s="17" t="s">
        <v>350</v>
      </c>
      <c r="C6" s="17">
        <v>2261.449</v>
      </c>
      <c r="D6" s="17">
        <v>2838.641</v>
      </c>
      <c r="E6" s="17">
        <v>1</v>
      </c>
      <c r="F6" s="18">
        <v>0</v>
      </c>
      <c r="G6" s="18">
        <v>0</v>
      </c>
      <c r="H6" s="18">
        <v>1</v>
      </c>
      <c r="I6" s="18">
        <v>0.023</v>
      </c>
      <c r="J6" s="18">
        <v>20.352</v>
      </c>
      <c r="K6" s="22">
        <v>2</v>
      </c>
      <c r="L6" s="22">
        <v>1</v>
      </c>
      <c r="M6" s="22">
        <v>0</v>
      </c>
      <c r="N6" s="22">
        <v>0</v>
      </c>
      <c r="O6" s="22">
        <v>0</v>
      </c>
      <c r="P6" s="22">
        <v>0.225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7">
        <v>399249</v>
      </c>
      <c r="B7" s="17" t="s">
        <v>351</v>
      </c>
      <c r="C7" s="17">
        <v>2365.72</v>
      </c>
      <c r="D7" s="17">
        <v>3203.439</v>
      </c>
      <c r="E7" s="17">
        <v>1</v>
      </c>
      <c r="F7" s="18">
        <v>0</v>
      </c>
      <c r="G7" s="18">
        <v>0</v>
      </c>
      <c r="H7" s="18">
        <v>1</v>
      </c>
      <c r="I7" s="18">
        <v>0.588</v>
      </c>
      <c r="J7" s="18">
        <v>26.585</v>
      </c>
      <c r="K7" s="22">
        <v>1</v>
      </c>
      <c r="L7" s="22">
        <v>1</v>
      </c>
      <c r="M7" s="22">
        <v>0</v>
      </c>
      <c r="N7" s="22">
        <v>0</v>
      </c>
      <c r="O7" s="22">
        <v>0</v>
      </c>
      <c r="P7" s="22">
        <v>0.492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7">
        <v>399381</v>
      </c>
      <c r="B8" s="17" t="s">
        <v>352</v>
      </c>
      <c r="C8" s="17">
        <v>2961.314</v>
      </c>
      <c r="D8" s="17">
        <v>3661.891</v>
      </c>
      <c r="E8" s="17">
        <v>1</v>
      </c>
      <c r="F8" s="18">
        <v>0</v>
      </c>
      <c r="G8" s="18">
        <v>0</v>
      </c>
      <c r="H8" s="18">
        <v>1</v>
      </c>
      <c r="I8" s="18">
        <v>0.764</v>
      </c>
      <c r="J8" s="18">
        <v>19.749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-0.611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7">
        <v>399928</v>
      </c>
      <c r="B9" s="17" t="s">
        <v>349</v>
      </c>
      <c r="C9" s="17">
        <v>2851.594</v>
      </c>
      <c r="D9" s="17">
        <v>3520.357</v>
      </c>
      <c r="E9" s="17">
        <v>1</v>
      </c>
      <c r="F9" s="18">
        <v>0</v>
      </c>
      <c r="G9" s="18">
        <v>0</v>
      </c>
      <c r="H9" s="18">
        <v>1</v>
      </c>
      <c r="I9" s="18">
        <v>0.343</v>
      </c>
      <c r="J9" s="18">
        <v>19.275</v>
      </c>
      <c r="K9" s="22">
        <v>3</v>
      </c>
      <c r="L9" s="22">
        <v>0</v>
      </c>
      <c r="M9" s="22">
        <v>0</v>
      </c>
      <c r="N9" s="22">
        <v>0</v>
      </c>
      <c r="O9" s="22">
        <v>0</v>
      </c>
      <c r="P9" s="22">
        <v>-7.281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9">
        <v>807</v>
      </c>
      <c r="B10" s="19" t="s">
        <v>61</v>
      </c>
      <c r="C10" s="19">
        <v>17464.311</v>
      </c>
      <c r="D10" s="19">
        <v>19541.84</v>
      </c>
      <c r="E10" s="19">
        <v>0</v>
      </c>
      <c r="F10" s="19">
        <v>1</v>
      </c>
      <c r="G10" s="18">
        <v>0</v>
      </c>
      <c r="H10" s="18">
        <v>0</v>
      </c>
      <c r="I10" s="18">
        <v>0</v>
      </c>
      <c r="J10" s="18">
        <v>0.427</v>
      </c>
      <c r="K10" s="22">
        <v>3</v>
      </c>
      <c r="L10" s="22">
        <v>0</v>
      </c>
      <c r="M10" s="22">
        <v>0</v>
      </c>
      <c r="N10" s="22">
        <v>0</v>
      </c>
      <c r="O10" s="22">
        <v>0</v>
      </c>
      <c r="P10" s="22">
        <v>4.012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9">
        <v>815</v>
      </c>
      <c r="B11" s="19" t="s">
        <v>353</v>
      </c>
      <c r="C11" s="19">
        <v>17904.826</v>
      </c>
      <c r="D11" s="19">
        <v>20025.689</v>
      </c>
      <c r="E11" s="19">
        <v>0</v>
      </c>
      <c r="F11" s="19">
        <v>1</v>
      </c>
      <c r="G11" s="18">
        <v>0</v>
      </c>
      <c r="H11" s="18">
        <v>0</v>
      </c>
      <c r="I11" s="18">
        <v>0</v>
      </c>
      <c r="J11" s="18">
        <v>0.21</v>
      </c>
      <c r="K11" s="22">
        <v>2</v>
      </c>
      <c r="L11" s="22">
        <v>0</v>
      </c>
      <c r="M11" s="22">
        <v>0</v>
      </c>
      <c r="N11" s="22">
        <v>0</v>
      </c>
      <c r="O11" s="22">
        <v>0</v>
      </c>
      <c r="P11" s="22">
        <v>-2.168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9">
        <v>932</v>
      </c>
      <c r="B12" s="19" t="s">
        <v>354</v>
      </c>
      <c r="C12" s="19">
        <v>14559.059</v>
      </c>
      <c r="D12" s="19">
        <v>16091.884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0.088</v>
      </c>
      <c r="K12" s="22">
        <v>1</v>
      </c>
      <c r="L12" s="22">
        <v>1</v>
      </c>
      <c r="M12" s="22">
        <v>0</v>
      </c>
      <c r="N12" s="22">
        <v>0</v>
      </c>
      <c r="O12" s="22">
        <v>0</v>
      </c>
      <c r="P12" s="22">
        <v>0.716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9">
        <v>990</v>
      </c>
      <c r="B13" s="19" t="s">
        <v>355</v>
      </c>
      <c r="C13" s="19">
        <v>12180.013</v>
      </c>
      <c r="D13" s="19">
        <v>13477.378</v>
      </c>
      <c r="E13" s="19">
        <v>0</v>
      </c>
      <c r="F13" s="19">
        <v>1</v>
      </c>
      <c r="G13" s="18">
        <v>0</v>
      </c>
      <c r="H13" s="18">
        <v>0</v>
      </c>
      <c r="I13" s="18">
        <v>0</v>
      </c>
      <c r="J13" s="18">
        <v>0.367</v>
      </c>
      <c r="K13" s="22">
        <v>0</v>
      </c>
      <c r="L13" s="22">
        <v>1</v>
      </c>
      <c r="M13" s="22">
        <v>0</v>
      </c>
      <c r="N13" s="22">
        <v>0</v>
      </c>
      <c r="O13" s="22">
        <v>0</v>
      </c>
      <c r="P13" s="22">
        <v>-2.4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9">
        <v>399231</v>
      </c>
      <c r="B14" s="19" t="s">
        <v>356</v>
      </c>
      <c r="C14" s="19">
        <v>1306.718</v>
      </c>
      <c r="D14" s="19">
        <v>1453.408</v>
      </c>
      <c r="E14" s="19">
        <v>0</v>
      </c>
      <c r="F14" s="19">
        <v>1</v>
      </c>
      <c r="G14" s="18">
        <v>0</v>
      </c>
      <c r="H14" s="18">
        <v>0</v>
      </c>
      <c r="I14" s="18">
        <v>0</v>
      </c>
      <c r="J14" s="18">
        <v>0.618</v>
      </c>
      <c r="K14" s="22">
        <v>1</v>
      </c>
      <c r="L14" s="22">
        <v>2</v>
      </c>
      <c r="M14" s="22">
        <v>0</v>
      </c>
      <c r="N14" s="22">
        <v>0</v>
      </c>
      <c r="O14" s="22">
        <v>0</v>
      </c>
      <c r="P14" s="22">
        <v>-0.001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9">
        <v>399385</v>
      </c>
      <c r="B15" s="19" t="s">
        <v>357</v>
      </c>
      <c r="C15" s="19">
        <v>8921.194</v>
      </c>
      <c r="D15" s="19">
        <v>9838.682</v>
      </c>
      <c r="E15" s="19">
        <v>0</v>
      </c>
      <c r="F15" s="19">
        <v>1</v>
      </c>
      <c r="G15" s="18">
        <v>0</v>
      </c>
      <c r="H15" s="18">
        <v>0</v>
      </c>
      <c r="I15" s="18">
        <v>0</v>
      </c>
      <c r="J15" s="18">
        <v>0.422</v>
      </c>
      <c r="K15" s="22">
        <v>2</v>
      </c>
      <c r="L15" s="22">
        <v>0</v>
      </c>
      <c r="M15" s="22">
        <v>-1</v>
      </c>
      <c r="N15" s="22">
        <v>1</v>
      </c>
      <c r="O15" s="22">
        <v>0</v>
      </c>
      <c r="P15" s="22">
        <v>0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9">
        <v>399396</v>
      </c>
      <c r="B16" s="19" t="s">
        <v>358</v>
      </c>
      <c r="C16" s="19">
        <v>16702.629</v>
      </c>
      <c r="D16" s="19">
        <v>18679.221</v>
      </c>
      <c r="E16" s="19">
        <v>0</v>
      </c>
      <c r="F16" s="19">
        <v>1</v>
      </c>
      <c r="G16" s="18">
        <v>0</v>
      </c>
      <c r="H16" s="18">
        <v>0</v>
      </c>
      <c r="I16" s="18">
        <v>0</v>
      </c>
      <c r="J16" s="18">
        <v>0.186</v>
      </c>
      <c r="K16" s="22">
        <v>3</v>
      </c>
      <c r="L16" s="22">
        <v>1</v>
      </c>
      <c r="M16" s="22">
        <v>0</v>
      </c>
      <c r="N16" s="22">
        <v>0</v>
      </c>
      <c r="O16" s="22">
        <v>0</v>
      </c>
      <c r="P16" s="22">
        <v>0.875</v>
      </c>
      <c r="Q16" s="22">
        <v>0</v>
      </c>
      <c r="R16" s="22">
        <v>-1</v>
      </c>
      <c r="S16" s="23"/>
      <c r="T16" s="23"/>
      <c r="U16" s="23"/>
      <c r="V16" s="23"/>
      <c r="W16" s="23"/>
    </row>
    <row r="17" ht="16.5" spans="1:23">
      <c r="A17" s="19">
        <v>399932</v>
      </c>
      <c r="B17" s="19" t="s">
        <v>354</v>
      </c>
      <c r="C17" s="19">
        <v>14559.058</v>
      </c>
      <c r="D17" s="19">
        <v>16091.884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0.088</v>
      </c>
      <c r="K17" s="22">
        <v>1</v>
      </c>
      <c r="L17" s="22">
        <v>1</v>
      </c>
      <c r="M17" s="22">
        <v>0</v>
      </c>
      <c r="N17" s="22">
        <v>0</v>
      </c>
      <c r="O17" s="22">
        <v>0</v>
      </c>
      <c r="P17" s="22">
        <v>0.373</v>
      </c>
      <c r="Q17" s="22">
        <v>0</v>
      </c>
      <c r="R17" s="22">
        <v>1</v>
      </c>
      <c r="S17" s="23"/>
      <c r="T17" s="23"/>
      <c r="U17" s="23"/>
      <c r="V17" s="23"/>
      <c r="W17" s="23"/>
    </row>
    <row r="18" ht="16.5" spans="1:23">
      <c r="A18" s="20">
        <v>12</v>
      </c>
      <c r="B18" s="20" t="s">
        <v>359</v>
      </c>
      <c r="C18" s="20">
        <v>224.438</v>
      </c>
      <c r="D18" s="20">
        <v>225.88</v>
      </c>
      <c r="E18" s="20">
        <v>0</v>
      </c>
      <c r="F18" s="20">
        <v>0</v>
      </c>
      <c r="G18" s="20">
        <v>0</v>
      </c>
      <c r="H18" s="20">
        <v>1</v>
      </c>
      <c r="I18" s="18">
        <v>0.065</v>
      </c>
      <c r="J18" s="18">
        <v>0.703</v>
      </c>
      <c r="K18" s="22">
        <v>2</v>
      </c>
      <c r="L18" s="22">
        <v>0</v>
      </c>
      <c r="M18" s="22">
        <v>0</v>
      </c>
      <c r="N18" s="22">
        <v>0</v>
      </c>
      <c r="O18" s="22">
        <v>0</v>
      </c>
      <c r="P18" s="22">
        <v>0.861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0">
        <v>13</v>
      </c>
      <c r="B19" s="20" t="s">
        <v>360</v>
      </c>
      <c r="C19" s="20">
        <v>302.238</v>
      </c>
      <c r="D19" s="20">
        <v>303.969</v>
      </c>
      <c r="E19" s="20">
        <v>0</v>
      </c>
      <c r="F19" s="20">
        <v>0</v>
      </c>
      <c r="G19" s="20">
        <v>0</v>
      </c>
      <c r="H19" s="20">
        <v>1</v>
      </c>
      <c r="I19" s="18">
        <v>0.36</v>
      </c>
      <c r="J19" s="18">
        <v>0.927</v>
      </c>
      <c r="K19" s="22">
        <v>2</v>
      </c>
      <c r="L19" s="22">
        <v>1</v>
      </c>
      <c r="M19" s="22">
        <v>0</v>
      </c>
      <c r="N19" s="22">
        <v>0</v>
      </c>
      <c r="O19" s="22">
        <v>0</v>
      </c>
      <c r="P19" s="22">
        <v>1.821</v>
      </c>
      <c r="Q19" s="22">
        <v>0</v>
      </c>
      <c r="R19" s="22">
        <v>1</v>
      </c>
      <c r="S19" s="23"/>
      <c r="T19" s="23"/>
      <c r="U19" s="23"/>
      <c r="V19" s="23"/>
      <c r="W19" s="23"/>
    </row>
    <row r="20" ht="16.5" spans="1:23">
      <c r="A20" s="20">
        <v>22</v>
      </c>
      <c r="B20" s="20" t="s">
        <v>361</v>
      </c>
      <c r="C20" s="20">
        <v>253.307</v>
      </c>
      <c r="D20" s="20">
        <v>254.591</v>
      </c>
      <c r="E20" s="20">
        <v>0</v>
      </c>
      <c r="F20" s="20">
        <v>0</v>
      </c>
      <c r="G20" s="20">
        <v>0</v>
      </c>
      <c r="H20" s="20">
        <v>1</v>
      </c>
      <c r="I20" s="18">
        <v>0.321</v>
      </c>
      <c r="J20" s="18">
        <v>0.824</v>
      </c>
      <c r="K20" s="22">
        <v>2</v>
      </c>
      <c r="L20" s="22">
        <v>0</v>
      </c>
      <c r="M20" s="22">
        <v>0</v>
      </c>
      <c r="N20" s="22">
        <v>0</v>
      </c>
      <c r="O20" s="22">
        <v>0</v>
      </c>
      <c r="P20" s="22">
        <v>0.405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0">
        <v>61</v>
      </c>
      <c r="B21" s="20" t="s">
        <v>362</v>
      </c>
      <c r="C21" s="20">
        <v>177.581</v>
      </c>
      <c r="D21" s="20">
        <v>178.514</v>
      </c>
      <c r="E21" s="20">
        <v>0</v>
      </c>
      <c r="F21" s="20">
        <v>0</v>
      </c>
      <c r="G21" s="20">
        <v>0</v>
      </c>
      <c r="H21" s="20">
        <v>1</v>
      </c>
      <c r="I21" s="18">
        <v>0.056</v>
      </c>
      <c r="J21" s="18">
        <v>0.578</v>
      </c>
      <c r="K21" s="22">
        <v>2</v>
      </c>
      <c r="L21" s="22">
        <v>1</v>
      </c>
      <c r="M21" s="22">
        <v>0</v>
      </c>
      <c r="N21" s="22">
        <v>0</v>
      </c>
      <c r="O21" s="22">
        <v>0</v>
      </c>
      <c r="P21" s="22">
        <v>-1.152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101</v>
      </c>
      <c r="B22" s="20" t="s">
        <v>363</v>
      </c>
      <c r="C22" s="20">
        <v>251.125</v>
      </c>
      <c r="D22" s="20">
        <v>252.535</v>
      </c>
      <c r="E22" s="20">
        <v>0</v>
      </c>
      <c r="F22" s="20">
        <v>0</v>
      </c>
      <c r="G22" s="20">
        <v>0</v>
      </c>
      <c r="H22" s="20">
        <v>1</v>
      </c>
      <c r="I22" s="18">
        <v>0.396</v>
      </c>
      <c r="J22" s="18">
        <v>0.952</v>
      </c>
      <c r="K22" s="22">
        <v>1</v>
      </c>
      <c r="L22" s="22">
        <v>0</v>
      </c>
      <c r="M22" s="22">
        <v>0</v>
      </c>
      <c r="N22" s="22">
        <v>0</v>
      </c>
      <c r="O22" s="22">
        <v>0</v>
      </c>
      <c r="P22" s="22">
        <v>0.397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0">
        <v>116</v>
      </c>
      <c r="B23" s="20" t="s">
        <v>364</v>
      </c>
      <c r="C23" s="20">
        <v>198.578</v>
      </c>
      <c r="D23" s="20">
        <v>199.38</v>
      </c>
      <c r="E23" s="20">
        <v>0</v>
      </c>
      <c r="F23" s="20">
        <v>0</v>
      </c>
      <c r="G23" s="20">
        <v>0</v>
      </c>
      <c r="H23" s="20">
        <v>1</v>
      </c>
      <c r="I23" s="18">
        <v>0.078</v>
      </c>
      <c r="J23" s="18">
        <v>0.48</v>
      </c>
      <c r="K23" s="22">
        <v>3</v>
      </c>
      <c r="L23" s="22">
        <v>2</v>
      </c>
      <c r="M23" s="22">
        <v>-1</v>
      </c>
      <c r="N23" s="22">
        <v>1</v>
      </c>
      <c r="O23" s="22">
        <v>0</v>
      </c>
      <c r="P23" s="22">
        <v>0.001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923</v>
      </c>
      <c r="B24" s="20" t="s">
        <v>365</v>
      </c>
      <c r="C24" s="20">
        <v>253.693</v>
      </c>
      <c r="D24" s="20">
        <v>254.972</v>
      </c>
      <c r="E24" s="20">
        <v>0</v>
      </c>
      <c r="F24" s="20">
        <v>0</v>
      </c>
      <c r="G24" s="20">
        <v>0</v>
      </c>
      <c r="H24" s="20">
        <v>1</v>
      </c>
      <c r="I24" s="18">
        <v>0.339</v>
      </c>
      <c r="J24" s="18">
        <v>0.839</v>
      </c>
      <c r="K24" s="22">
        <v>3</v>
      </c>
      <c r="L24" s="22">
        <v>0</v>
      </c>
      <c r="M24" s="22">
        <v>0</v>
      </c>
      <c r="N24" s="22">
        <v>0</v>
      </c>
      <c r="O24" s="22">
        <v>0</v>
      </c>
      <c r="P24" s="22">
        <v>-1.605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0">
        <v>399289</v>
      </c>
      <c r="B25" s="20" t="s">
        <v>366</v>
      </c>
      <c r="C25" s="20">
        <v>120.678</v>
      </c>
      <c r="D25" s="20">
        <v>121.447</v>
      </c>
      <c r="E25" s="20">
        <v>0</v>
      </c>
      <c r="F25" s="20">
        <v>0</v>
      </c>
      <c r="G25" s="20">
        <v>0</v>
      </c>
      <c r="H25" s="20">
        <v>1</v>
      </c>
      <c r="I25" s="18">
        <v>0.319</v>
      </c>
      <c r="J25" s="18">
        <v>0.95</v>
      </c>
      <c r="K25" s="22">
        <v>3</v>
      </c>
      <c r="L25" s="22">
        <v>1</v>
      </c>
      <c r="M25" s="22">
        <v>0</v>
      </c>
      <c r="N25" s="22">
        <v>0</v>
      </c>
      <c r="O25" s="22">
        <v>0</v>
      </c>
      <c r="P25" s="22">
        <v>2.229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0">
        <v>399298</v>
      </c>
      <c r="B26" s="20" t="s">
        <v>367</v>
      </c>
      <c r="C26" s="20">
        <v>213.554</v>
      </c>
      <c r="D26" s="20">
        <v>214.958</v>
      </c>
      <c r="E26" s="20">
        <v>0</v>
      </c>
      <c r="F26" s="20">
        <v>0</v>
      </c>
      <c r="G26" s="20">
        <v>0</v>
      </c>
      <c r="H26" s="20">
        <v>1</v>
      </c>
      <c r="I26" s="18">
        <v>0.39</v>
      </c>
      <c r="J26" s="18">
        <v>1.041</v>
      </c>
      <c r="K26" s="22">
        <v>1</v>
      </c>
      <c r="L26" s="22">
        <v>1</v>
      </c>
      <c r="M26" s="22">
        <v>0</v>
      </c>
      <c r="N26" s="22">
        <v>0</v>
      </c>
      <c r="O26" s="22">
        <v>0</v>
      </c>
      <c r="P26" s="22">
        <v>2.323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0">
        <v>399299</v>
      </c>
      <c r="B27" s="20" t="s">
        <v>368</v>
      </c>
      <c r="C27" s="20">
        <v>245.78</v>
      </c>
      <c r="D27" s="20">
        <v>247.534</v>
      </c>
      <c r="E27" s="20">
        <v>0</v>
      </c>
      <c r="F27" s="20">
        <v>0</v>
      </c>
      <c r="G27" s="20">
        <v>0</v>
      </c>
      <c r="H27" s="20">
        <v>1</v>
      </c>
      <c r="I27" s="18">
        <v>0.437</v>
      </c>
      <c r="J27" s="18">
        <v>1.142</v>
      </c>
      <c r="K27" s="22">
        <v>1</v>
      </c>
      <c r="L27" s="22">
        <v>1</v>
      </c>
      <c r="M27" s="22">
        <v>0</v>
      </c>
      <c r="N27" s="22">
        <v>0</v>
      </c>
      <c r="O27" s="22">
        <v>0</v>
      </c>
      <c r="P27" s="22">
        <v>-0.299</v>
      </c>
      <c r="Q27" s="22">
        <v>0</v>
      </c>
      <c r="R27" s="22">
        <v>1</v>
      </c>
      <c r="S27" s="23"/>
      <c r="T27" s="23"/>
      <c r="U27" s="23"/>
      <c r="V27" s="23"/>
      <c r="W27" s="23"/>
    </row>
    <row r="28" ht="16.5" spans="1:23">
      <c r="A28" s="20">
        <v>399301</v>
      </c>
      <c r="B28" s="20" t="s">
        <v>369</v>
      </c>
      <c r="C28" s="20">
        <v>217.407</v>
      </c>
      <c r="D28" s="20">
        <v>218.837</v>
      </c>
      <c r="E28" s="20">
        <v>0</v>
      </c>
      <c r="F28" s="20">
        <v>0</v>
      </c>
      <c r="G28" s="20">
        <v>0</v>
      </c>
      <c r="H28" s="20">
        <v>1</v>
      </c>
      <c r="I28" s="18">
        <v>0.39</v>
      </c>
      <c r="J28" s="18">
        <v>1.041</v>
      </c>
      <c r="K28" s="22">
        <v>1</v>
      </c>
      <c r="L28" s="22">
        <v>0</v>
      </c>
      <c r="M28" s="22">
        <v>0</v>
      </c>
      <c r="N28" s="22">
        <v>0</v>
      </c>
      <c r="O28" s="22">
        <v>0</v>
      </c>
      <c r="P28" s="22">
        <v>1.763</v>
      </c>
      <c r="Q28" s="22">
        <v>0</v>
      </c>
      <c r="R28" s="22">
        <v>1</v>
      </c>
      <c r="S28" s="23"/>
      <c r="T28" s="23"/>
      <c r="U28" s="23"/>
      <c r="V28" s="23"/>
      <c r="W28" s="23"/>
    </row>
    <row r="29" ht="16.5" spans="1:23">
      <c r="A29" s="20">
        <v>399302</v>
      </c>
      <c r="B29" s="20" t="s">
        <v>370</v>
      </c>
      <c r="C29" s="20">
        <v>220.293</v>
      </c>
      <c r="D29" s="20">
        <v>221.576</v>
      </c>
      <c r="E29" s="20">
        <v>0</v>
      </c>
      <c r="F29" s="20">
        <v>0</v>
      </c>
      <c r="G29" s="20">
        <v>0</v>
      </c>
      <c r="H29" s="20">
        <v>1</v>
      </c>
      <c r="I29" s="18">
        <v>0.383</v>
      </c>
      <c r="J29" s="18">
        <v>0.96</v>
      </c>
      <c r="K29" s="22">
        <v>1</v>
      </c>
      <c r="L29" s="22">
        <v>1</v>
      </c>
      <c r="M29" s="22">
        <v>0</v>
      </c>
      <c r="N29" s="22">
        <v>0</v>
      </c>
      <c r="O29" s="22">
        <v>0</v>
      </c>
      <c r="P29" s="22">
        <v>-0.272</v>
      </c>
      <c r="Q29" s="22">
        <v>0</v>
      </c>
      <c r="R29" s="22">
        <v>1</v>
      </c>
      <c r="S29" s="23"/>
      <c r="T29" s="23"/>
      <c r="U29" s="23"/>
      <c r="V29" s="23"/>
      <c r="W29" s="23"/>
    </row>
    <row r="30" ht="16.5" spans="1:23">
      <c r="A30" s="20">
        <v>399404</v>
      </c>
      <c r="B30" s="20" t="s">
        <v>371</v>
      </c>
      <c r="C30" s="20">
        <v>6073.034</v>
      </c>
      <c r="D30" s="20">
        <v>6681.427</v>
      </c>
      <c r="E30" s="20">
        <v>0</v>
      </c>
      <c r="F30" s="20">
        <v>0</v>
      </c>
      <c r="G30" s="20">
        <v>0</v>
      </c>
      <c r="H30" s="20">
        <v>1</v>
      </c>
      <c r="I30" s="18">
        <v>1.799</v>
      </c>
      <c r="J30" s="18">
        <v>10.741</v>
      </c>
      <c r="K30" s="22">
        <v>2</v>
      </c>
      <c r="L30" s="22">
        <v>1</v>
      </c>
      <c r="M30" s="22">
        <v>0</v>
      </c>
      <c r="N30" s="22">
        <v>0</v>
      </c>
      <c r="O30" s="22">
        <v>0</v>
      </c>
      <c r="P30" s="22">
        <v>0.821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0">
        <v>399410</v>
      </c>
      <c r="B31" s="20" t="s">
        <v>372</v>
      </c>
      <c r="C31" s="20">
        <v>2640.119</v>
      </c>
      <c r="D31" s="20">
        <v>3492.056</v>
      </c>
      <c r="E31" s="20">
        <v>0</v>
      </c>
      <c r="F31" s="20">
        <v>0</v>
      </c>
      <c r="G31" s="20">
        <v>0</v>
      </c>
      <c r="H31" s="20">
        <v>1</v>
      </c>
      <c r="I31" s="18">
        <v>0.744</v>
      </c>
      <c r="J31" s="18">
        <v>24.959</v>
      </c>
      <c r="K31" s="22">
        <v>3</v>
      </c>
      <c r="L31" s="22">
        <v>0</v>
      </c>
      <c r="M31" s="22">
        <v>0</v>
      </c>
      <c r="N31" s="22">
        <v>0</v>
      </c>
      <c r="O31" s="22">
        <v>0</v>
      </c>
      <c r="P31" s="22">
        <v>1.126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0">
        <v>399427</v>
      </c>
      <c r="B32" s="20" t="s">
        <v>373</v>
      </c>
      <c r="C32" s="20">
        <v>2139.628</v>
      </c>
      <c r="D32" s="20">
        <v>2475.492</v>
      </c>
      <c r="E32" s="20">
        <v>0</v>
      </c>
      <c r="F32" s="20">
        <v>0</v>
      </c>
      <c r="G32" s="20">
        <v>0</v>
      </c>
      <c r="H32" s="20">
        <v>1</v>
      </c>
      <c r="I32" s="18">
        <v>1.685</v>
      </c>
      <c r="J32" s="18">
        <v>15.024</v>
      </c>
      <c r="K32" s="22">
        <v>2</v>
      </c>
      <c r="L32" s="22">
        <v>2</v>
      </c>
      <c r="M32" s="22">
        <v>0</v>
      </c>
      <c r="N32" s="22">
        <v>0</v>
      </c>
      <c r="O32" s="22">
        <v>0</v>
      </c>
      <c r="P32" s="22">
        <v>3.04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0">
        <v>399689</v>
      </c>
      <c r="B33" s="20" t="s">
        <v>374</v>
      </c>
      <c r="C33" s="20">
        <v>832.476</v>
      </c>
      <c r="D33" s="20">
        <v>985.747</v>
      </c>
      <c r="E33" s="20">
        <v>0</v>
      </c>
      <c r="F33" s="20">
        <v>0</v>
      </c>
      <c r="G33" s="20">
        <v>0</v>
      </c>
      <c r="H33" s="20">
        <v>1</v>
      </c>
      <c r="I33" s="18">
        <v>0.387</v>
      </c>
      <c r="J33" s="18">
        <v>15.875</v>
      </c>
      <c r="K33" s="22">
        <v>2</v>
      </c>
      <c r="L33" s="22">
        <v>1</v>
      </c>
      <c r="M33" s="22">
        <v>0</v>
      </c>
      <c r="N33" s="22">
        <v>0</v>
      </c>
      <c r="O33" s="22">
        <v>0</v>
      </c>
      <c r="P33" s="22">
        <v>1.277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5</v>
      </c>
      <c r="B34" s="21" t="s">
        <v>375</v>
      </c>
      <c r="C34" s="21">
        <v>2737.217</v>
      </c>
      <c r="D34" s="21">
        <v>2969.486</v>
      </c>
      <c r="E34" s="21">
        <v>0</v>
      </c>
      <c r="F34" s="21">
        <v>0</v>
      </c>
      <c r="G34" s="21">
        <v>1</v>
      </c>
      <c r="H34" s="18">
        <v>0</v>
      </c>
      <c r="I34" s="18">
        <v>0</v>
      </c>
      <c r="J34" s="18">
        <v>0</v>
      </c>
      <c r="K34" s="22">
        <v>0</v>
      </c>
      <c r="L34" s="22">
        <v>1</v>
      </c>
      <c r="M34" s="22">
        <v>0</v>
      </c>
      <c r="N34" s="22">
        <v>0</v>
      </c>
      <c r="O34" s="22">
        <v>0</v>
      </c>
      <c r="P34" s="22">
        <v>1.606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6</v>
      </c>
      <c r="B35" s="21" t="s">
        <v>376</v>
      </c>
      <c r="C35" s="21">
        <v>4136.191</v>
      </c>
      <c r="D35" s="21">
        <v>4584.04</v>
      </c>
      <c r="E35" s="21">
        <v>0</v>
      </c>
      <c r="F35" s="21">
        <v>0</v>
      </c>
      <c r="G35" s="21">
        <v>1</v>
      </c>
      <c r="H35" s="18">
        <v>0</v>
      </c>
      <c r="I35" s="18">
        <v>0</v>
      </c>
      <c r="J35" s="18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11.61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8</v>
      </c>
      <c r="B36" s="21" t="s">
        <v>377</v>
      </c>
      <c r="C36" s="21">
        <v>3431.768</v>
      </c>
      <c r="D36" s="21">
        <v>3749.219</v>
      </c>
      <c r="E36" s="21">
        <v>0</v>
      </c>
      <c r="F36" s="21">
        <v>0</v>
      </c>
      <c r="G36" s="21">
        <v>1</v>
      </c>
      <c r="H36" s="18">
        <v>0</v>
      </c>
      <c r="I36" s="18">
        <v>0</v>
      </c>
      <c r="J36" s="18">
        <v>0</v>
      </c>
      <c r="K36" s="22">
        <v>3</v>
      </c>
      <c r="L36" s="22">
        <v>2</v>
      </c>
      <c r="M36" s="22">
        <v>-1</v>
      </c>
      <c r="N36" s="22">
        <v>1</v>
      </c>
      <c r="O36" s="22">
        <v>0</v>
      </c>
      <c r="P36" s="22">
        <v>16.744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11</v>
      </c>
      <c r="B37" s="21" t="s">
        <v>191</v>
      </c>
      <c r="C37" s="21">
        <v>6970.218</v>
      </c>
      <c r="D37" s="21">
        <v>7248.156</v>
      </c>
      <c r="E37" s="21">
        <v>0</v>
      </c>
      <c r="F37" s="21">
        <v>0</v>
      </c>
      <c r="G37" s="21">
        <v>1</v>
      </c>
      <c r="H37" s="18">
        <v>0</v>
      </c>
      <c r="I37" s="18">
        <v>0</v>
      </c>
      <c r="J37" s="18">
        <v>0</v>
      </c>
      <c r="K37" s="22">
        <v>2</v>
      </c>
      <c r="L37" s="22">
        <v>1</v>
      </c>
      <c r="M37" s="22">
        <v>0</v>
      </c>
      <c r="N37" s="22">
        <v>0</v>
      </c>
      <c r="O37" s="22">
        <v>0</v>
      </c>
      <c r="P37" s="22">
        <v>1.826</v>
      </c>
      <c r="Q37" s="22">
        <v>0</v>
      </c>
      <c r="R37" s="22">
        <v>1</v>
      </c>
      <c r="S37" s="23"/>
      <c r="T37" s="23"/>
      <c r="U37" s="23"/>
      <c r="V37" s="23"/>
      <c r="W37" s="23"/>
    </row>
    <row r="38" ht="16.5" spans="1:23">
      <c r="A38" s="21">
        <v>16</v>
      </c>
      <c r="B38" s="21" t="s">
        <v>378</v>
      </c>
      <c r="C38" s="21">
        <v>2913.351</v>
      </c>
      <c r="D38" s="21">
        <v>3176.901</v>
      </c>
      <c r="E38" s="21">
        <v>0</v>
      </c>
      <c r="F38" s="21">
        <v>0</v>
      </c>
      <c r="G38" s="21">
        <v>1</v>
      </c>
      <c r="H38" s="18">
        <v>0</v>
      </c>
      <c r="I38" s="18">
        <v>0</v>
      </c>
      <c r="J38" s="18">
        <v>0</v>
      </c>
      <c r="K38" s="22">
        <v>1</v>
      </c>
      <c r="L38" s="22">
        <v>1</v>
      </c>
      <c r="M38" s="22">
        <v>0</v>
      </c>
      <c r="N38" s="22">
        <v>0</v>
      </c>
      <c r="O38" s="22">
        <v>0</v>
      </c>
      <c r="P38" s="22">
        <v>-9.673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18</v>
      </c>
      <c r="B39" s="21" t="s">
        <v>379</v>
      </c>
      <c r="C39" s="21">
        <v>5486.944</v>
      </c>
      <c r="D39" s="21">
        <v>6139.067</v>
      </c>
      <c r="E39" s="21">
        <v>0</v>
      </c>
      <c r="F39" s="21">
        <v>0</v>
      </c>
      <c r="G39" s="21">
        <v>1</v>
      </c>
      <c r="H39" s="18">
        <v>0</v>
      </c>
      <c r="I39" s="18">
        <v>0</v>
      </c>
      <c r="J39" s="18">
        <v>0</v>
      </c>
      <c r="K39" s="22">
        <v>4</v>
      </c>
      <c r="L39" s="22">
        <v>0</v>
      </c>
      <c r="M39" s="22">
        <v>0</v>
      </c>
      <c r="N39" s="22">
        <v>0</v>
      </c>
      <c r="O39" s="22">
        <v>0</v>
      </c>
      <c r="P39" s="22">
        <v>1.166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35</v>
      </c>
      <c r="B40" s="21" t="s">
        <v>380</v>
      </c>
      <c r="C40" s="21">
        <v>2764.113</v>
      </c>
      <c r="D40" s="21">
        <v>3095.257</v>
      </c>
      <c r="E40" s="21">
        <v>0</v>
      </c>
      <c r="F40" s="21">
        <v>0</v>
      </c>
      <c r="G40" s="21">
        <v>1</v>
      </c>
      <c r="H40" s="18">
        <v>0</v>
      </c>
      <c r="I40" s="18">
        <v>0</v>
      </c>
      <c r="J40" s="18">
        <v>0</v>
      </c>
      <c r="K40" s="22">
        <v>3</v>
      </c>
      <c r="L40" s="22">
        <v>0</v>
      </c>
      <c r="M40" s="22">
        <v>0</v>
      </c>
      <c r="N40" s="22">
        <v>-1</v>
      </c>
      <c r="O40" s="22">
        <v>0</v>
      </c>
      <c r="P40" s="22">
        <v>-8.231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36</v>
      </c>
      <c r="B41" s="21" t="s">
        <v>381</v>
      </c>
      <c r="C41" s="21">
        <v>10464.96</v>
      </c>
      <c r="D41" s="21">
        <v>11459.488</v>
      </c>
      <c r="E41" s="21">
        <v>0</v>
      </c>
      <c r="F41" s="21">
        <v>0</v>
      </c>
      <c r="G41" s="21">
        <v>1</v>
      </c>
      <c r="H41" s="18">
        <v>0</v>
      </c>
      <c r="I41" s="18">
        <v>0</v>
      </c>
      <c r="J41" s="18">
        <v>0</v>
      </c>
      <c r="K41" s="22">
        <v>2</v>
      </c>
      <c r="L41" s="22">
        <v>0</v>
      </c>
      <c r="M41" s="22">
        <v>0</v>
      </c>
      <c r="N41" s="22">
        <v>0</v>
      </c>
      <c r="O41" s="22">
        <v>0</v>
      </c>
      <c r="P41" s="22">
        <v>0.255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38</v>
      </c>
      <c r="B42" s="21" t="s">
        <v>382</v>
      </c>
      <c r="C42" s="21">
        <v>5460.753</v>
      </c>
      <c r="D42" s="21">
        <v>6138.203</v>
      </c>
      <c r="E42" s="21">
        <v>0</v>
      </c>
      <c r="F42" s="21">
        <v>0</v>
      </c>
      <c r="G42" s="21">
        <v>1</v>
      </c>
      <c r="H42" s="18">
        <v>0</v>
      </c>
      <c r="I42" s="18">
        <v>0</v>
      </c>
      <c r="J42" s="18">
        <v>0</v>
      </c>
      <c r="K42" s="22">
        <v>2</v>
      </c>
      <c r="L42" s="22">
        <v>1</v>
      </c>
      <c r="M42" s="22">
        <v>0</v>
      </c>
      <c r="N42" s="22">
        <v>0</v>
      </c>
      <c r="O42" s="22">
        <v>0</v>
      </c>
      <c r="P42" s="22">
        <v>1.437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39</v>
      </c>
      <c r="B43" s="21" t="s">
        <v>383</v>
      </c>
      <c r="C43" s="21">
        <v>5095.034</v>
      </c>
      <c r="D43" s="21">
        <v>6401.352</v>
      </c>
      <c r="E43" s="21">
        <v>0</v>
      </c>
      <c r="F43" s="21">
        <v>0</v>
      </c>
      <c r="G43" s="21">
        <v>1</v>
      </c>
      <c r="H43" s="18">
        <v>0</v>
      </c>
      <c r="I43" s="18">
        <v>0</v>
      </c>
      <c r="J43" s="18">
        <v>0</v>
      </c>
      <c r="K43" s="22">
        <v>2</v>
      </c>
      <c r="L43" s="22">
        <v>1</v>
      </c>
      <c r="M43" s="22">
        <v>0</v>
      </c>
      <c r="N43" s="22">
        <v>0</v>
      </c>
      <c r="O43" s="22">
        <v>0</v>
      </c>
      <c r="P43" s="22">
        <v>-0.079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42</v>
      </c>
      <c r="B44" s="21" t="s">
        <v>384</v>
      </c>
      <c r="C44" s="21">
        <v>1749.198</v>
      </c>
      <c r="D44" s="21">
        <v>1860.739</v>
      </c>
      <c r="E44" s="21">
        <v>0</v>
      </c>
      <c r="F44" s="21">
        <v>0</v>
      </c>
      <c r="G44" s="21">
        <v>1</v>
      </c>
      <c r="H44" s="18">
        <v>0</v>
      </c>
      <c r="I44" s="18">
        <v>0</v>
      </c>
      <c r="J44" s="18">
        <v>0</v>
      </c>
      <c r="K44" s="22">
        <v>2</v>
      </c>
      <c r="L44" s="22">
        <v>0</v>
      </c>
      <c r="M44" s="22">
        <v>0</v>
      </c>
      <c r="N44" s="22">
        <v>0</v>
      </c>
      <c r="O44" s="22">
        <v>0</v>
      </c>
      <c r="P44" s="22">
        <v>-1.59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43</v>
      </c>
      <c r="B45" s="21" t="s">
        <v>319</v>
      </c>
      <c r="C45" s="21">
        <v>2497.643</v>
      </c>
      <c r="D45" s="21">
        <v>2730.439</v>
      </c>
      <c r="E45" s="21">
        <v>0</v>
      </c>
      <c r="F45" s="21">
        <v>0</v>
      </c>
      <c r="G45" s="21">
        <v>1</v>
      </c>
      <c r="H45" s="18">
        <v>0</v>
      </c>
      <c r="I45" s="18">
        <v>0</v>
      </c>
      <c r="J45" s="18">
        <v>0</v>
      </c>
      <c r="K45" s="22">
        <v>2</v>
      </c>
      <c r="L45" s="22">
        <v>0</v>
      </c>
      <c r="M45" s="22">
        <v>0</v>
      </c>
      <c r="N45" s="22">
        <v>0</v>
      </c>
      <c r="O45" s="22">
        <v>0</v>
      </c>
      <c r="P45" s="22">
        <v>-0.735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48</v>
      </c>
      <c r="B46" s="21" t="s">
        <v>385</v>
      </c>
      <c r="C46" s="21">
        <v>1419.848</v>
      </c>
      <c r="D46" s="21">
        <v>1528.46</v>
      </c>
      <c r="E46" s="21">
        <v>0</v>
      </c>
      <c r="F46" s="21">
        <v>0</v>
      </c>
      <c r="G46" s="21">
        <v>1</v>
      </c>
      <c r="H46" s="18">
        <v>0</v>
      </c>
      <c r="I46" s="18">
        <v>0</v>
      </c>
      <c r="J46" s="18">
        <v>0</v>
      </c>
      <c r="K46" s="22">
        <v>2</v>
      </c>
      <c r="L46" s="22">
        <v>0</v>
      </c>
      <c r="M46" s="22">
        <v>0</v>
      </c>
      <c r="N46" s="22">
        <v>0</v>
      </c>
      <c r="O46" s="22">
        <v>0</v>
      </c>
      <c r="P46" s="22">
        <v>-0.096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50</v>
      </c>
      <c r="B47" s="21" t="s">
        <v>386</v>
      </c>
      <c r="C47" s="21">
        <v>2327.789</v>
      </c>
      <c r="D47" s="21">
        <v>2536.543</v>
      </c>
      <c r="E47" s="21">
        <v>0</v>
      </c>
      <c r="F47" s="21">
        <v>0</v>
      </c>
      <c r="G47" s="21">
        <v>1</v>
      </c>
      <c r="H47" s="18">
        <v>0</v>
      </c>
      <c r="I47" s="18">
        <v>0</v>
      </c>
      <c r="J47" s="18">
        <v>0</v>
      </c>
      <c r="K47" s="22">
        <v>1</v>
      </c>
      <c r="L47" s="22">
        <v>1</v>
      </c>
      <c r="M47" s="22">
        <v>0</v>
      </c>
      <c r="N47" s="22">
        <v>0</v>
      </c>
      <c r="O47" s="22">
        <v>0</v>
      </c>
      <c r="P47" s="22">
        <v>0.712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52</v>
      </c>
      <c r="B48" s="21" t="s">
        <v>387</v>
      </c>
      <c r="C48" s="21">
        <v>2889.857</v>
      </c>
      <c r="D48" s="21">
        <v>3113.781</v>
      </c>
      <c r="E48" s="21">
        <v>0</v>
      </c>
      <c r="F48" s="21">
        <v>0</v>
      </c>
      <c r="G48" s="21">
        <v>1</v>
      </c>
      <c r="H48" s="18">
        <v>0</v>
      </c>
      <c r="I48" s="18">
        <v>0</v>
      </c>
      <c r="J48" s="18">
        <v>0</v>
      </c>
      <c r="K48" s="22">
        <v>2</v>
      </c>
      <c r="L48" s="22">
        <v>0</v>
      </c>
      <c r="M48" s="22">
        <v>0</v>
      </c>
      <c r="N48" s="22">
        <v>0</v>
      </c>
      <c r="O48" s="22">
        <v>0</v>
      </c>
      <c r="P48" s="22">
        <v>-2.424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54</v>
      </c>
      <c r="B49" s="21" t="s">
        <v>388</v>
      </c>
      <c r="C49" s="21">
        <v>1529.037</v>
      </c>
      <c r="D49" s="21">
        <v>1682.326</v>
      </c>
      <c r="E49" s="21">
        <v>0</v>
      </c>
      <c r="F49" s="21">
        <v>0</v>
      </c>
      <c r="G49" s="21">
        <v>1</v>
      </c>
      <c r="H49" s="18">
        <v>0</v>
      </c>
      <c r="I49" s="18">
        <v>0</v>
      </c>
      <c r="J49" s="18">
        <v>0</v>
      </c>
      <c r="K49" s="22">
        <v>1</v>
      </c>
      <c r="L49" s="22">
        <v>1</v>
      </c>
      <c r="M49" s="22">
        <v>0</v>
      </c>
      <c r="N49" s="22">
        <v>0</v>
      </c>
      <c r="O49" s="22">
        <v>0</v>
      </c>
      <c r="P49" s="22">
        <v>-0.144</v>
      </c>
      <c r="Q49" s="22">
        <v>0</v>
      </c>
      <c r="R49" s="22">
        <v>1</v>
      </c>
      <c r="S49" s="23"/>
      <c r="T49" s="23"/>
      <c r="U49" s="23"/>
      <c r="V49" s="23"/>
      <c r="W49" s="23"/>
    </row>
    <row r="50" ht="16.5" spans="1:23">
      <c r="A50" s="21">
        <v>58</v>
      </c>
      <c r="B50" s="21" t="s">
        <v>389</v>
      </c>
      <c r="C50" s="21">
        <v>4580.543</v>
      </c>
      <c r="D50" s="21">
        <v>4874.844</v>
      </c>
      <c r="E50" s="21">
        <v>0</v>
      </c>
      <c r="F50" s="21">
        <v>0</v>
      </c>
      <c r="G50" s="21">
        <v>1</v>
      </c>
      <c r="H50" s="18">
        <v>0</v>
      </c>
      <c r="I50" s="18">
        <v>0</v>
      </c>
      <c r="J50" s="18">
        <v>0</v>
      </c>
      <c r="K50" s="22">
        <v>2</v>
      </c>
      <c r="L50" s="22">
        <v>1</v>
      </c>
      <c r="M50" s="22">
        <v>0</v>
      </c>
      <c r="N50" s="22">
        <v>0</v>
      </c>
      <c r="O50" s="22">
        <v>0</v>
      </c>
      <c r="P50" s="22">
        <v>1.01</v>
      </c>
      <c r="Q50" s="22">
        <v>0</v>
      </c>
      <c r="R50" s="22">
        <v>1</v>
      </c>
      <c r="S50" s="23"/>
      <c r="T50" s="23"/>
      <c r="U50" s="23"/>
      <c r="V50" s="23"/>
      <c r="W50" s="23"/>
    </row>
    <row r="51" ht="16.5" spans="1:23">
      <c r="A51" s="21">
        <v>63</v>
      </c>
      <c r="B51" s="21" t="s">
        <v>390</v>
      </c>
      <c r="C51" s="21">
        <v>3835.022</v>
      </c>
      <c r="D51" s="21">
        <v>4223.742</v>
      </c>
      <c r="E51" s="21">
        <v>0</v>
      </c>
      <c r="F51" s="21">
        <v>0</v>
      </c>
      <c r="G51" s="21">
        <v>1</v>
      </c>
      <c r="H51" s="18">
        <v>0</v>
      </c>
      <c r="I51" s="18">
        <v>0</v>
      </c>
      <c r="J51" s="18">
        <v>0</v>
      </c>
      <c r="K51" s="22">
        <v>1</v>
      </c>
      <c r="L51" s="22">
        <v>1</v>
      </c>
      <c r="M51" s="22">
        <v>0</v>
      </c>
      <c r="N51" s="22">
        <v>0</v>
      </c>
      <c r="O51" s="22">
        <v>0</v>
      </c>
      <c r="P51" s="22">
        <v>1.448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69</v>
      </c>
      <c r="B52" s="21" t="s">
        <v>391</v>
      </c>
      <c r="C52" s="21">
        <v>4669.555</v>
      </c>
      <c r="D52" s="21">
        <v>5165.223</v>
      </c>
      <c r="E52" s="21">
        <v>0</v>
      </c>
      <c r="F52" s="21">
        <v>0</v>
      </c>
      <c r="G52" s="21">
        <v>1</v>
      </c>
      <c r="H52" s="18">
        <v>0</v>
      </c>
      <c r="I52" s="18">
        <v>0</v>
      </c>
      <c r="J52" s="18">
        <v>0</v>
      </c>
      <c r="K52" s="22">
        <v>2</v>
      </c>
      <c r="L52" s="22">
        <v>1</v>
      </c>
      <c r="M52" s="22">
        <v>0</v>
      </c>
      <c r="N52" s="22">
        <v>0</v>
      </c>
      <c r="O52" s="22">
        <v>0</v>
      </c>
      <c r="P52" s="22">
        <v>2.055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73</v>
      </c>
      <c r="B53" s="21" t="s">
        <v>392</v>
      </c>
      <c r="C53" s="21">
        <v>3254.4</v>
      </c>
      <c r="D53" s="21">
        <v>3677.292</v>
      </c>
      <c r="E53" s="21">
        <v>0</v>
      </c>
      <c r="F53" s="21">
        <v>0</v>
      </c>
      <c r="G53" s="21">
        <v>1</v>
      </c>
      <c r="H53" s="18">
        <v>0</v>
      </c>
      <c r="I53" s="18">
        <v>0</v>
      </c>
      <c r="J53" s="18">
        <v>0</v>
      </c>
      <c r="K53" s="22">
        <v>1</v>
      </c>
      <c r="L53" s="22">
        <v>1</v>
      </c>
      <c r="M53" s="22">
        <v>0</v>
      </c>
      <c r="N53" s="22">
        <v>0</v>
      </c>
      <c r="O53" s="22">
        <v>0</v>
      </c>
      <c r="P53" s="22">
        <v>0.602</v>
      </c>
      <c r="Q53" s="22">
        <v>0</v>
      </c>
      <c r="R53" s="22">
        <v>1</v>
      </c>
      <c r="S53" s="23"/>
      <c r="T53" s="23"/>
      <c r="U53" s="23"/>
      <c r="V53" s="23"/>
      <c r="W53" s="23"/>
    </row>
    <row r="54" ht="16.5" spans="1:23">
      <c r="A54" s="21">
        <v>74</v>
      </c>
      <c r="B54" s="21" t="s">
        <v>393</v>
      </c>
      <c r="C54" s="21">
        <v>6847.458</v>
      </c>
      <c r="D54" s="21">
        <v>7544.422</v>
      </c>
      <c r="E54" s="21">
        <v>0</v>
      </c>
      <c r="F54" s="21">
        <v>0</v>
      </c>
      <c r="G54" s="21">
        <v>1</v>
      </c>
      <c r="H54" s="18">
        <v>0</v>
      </c>
      <c r="I54" s="18">
        <v>0</v>
      </c>
      <c r="J54" s="18">
        <v>0</v>
      </c>
      <c r="K54" s="22">
        <v>2</v>
      </c>
      <c r="L54" s="22">
        <v>2</v>
      </c>
      <c r="M54" s="22">
        <v>0</v>
      </c>
      <c r="N54" s="22">
        <v>0</v>
      </c>
      <c r="O54" s="22">
        <v>0</v>
      </c>
      <c r="P54" s="22">
        <v>-0.299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76</v>
      </c>
      <c r="B55" s="21" t="s">
        <v>394</v>
      </c>
      <c r="C55" s="21">
        <v>5394.142</v>
      </c>
      <c r="D55" s="21">
        <v>5944.082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2">
        <v>2</v>
      </c>
      <c r="L55" s="22">
        <v>0</v>
      </c>
      <c r="M55" s="22">
        <v>0</v>
      </c>
      <c r="N55" s="22">
        <v>0</v>
      </c>
      <c r="O55" s="22">
        <v>0</v>
      </c>
      <c r="P55" s="22">
        <v>0.108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96</v>
      </c>
      <c r="B56" s="21" t="s">
        <v>395</v>
      </c>
      <c r="C56" s="21">
        <v>4065.202</v>
      </c>
      <c r="D56" s="21">
        <v>4471.806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2">
        <v>1</v>
      </c>
      <c r="L56" s="22">
        <v>1</v>
      </c>
      <c r="M56" s="22">
        <v>0</v>
      </c>
      <c r="N56" s="22">
        <v>0</v>
      </c>
      <c r="O56" s="22">
        <v>0</v>
      </c>
      <c r="P56" s="22">
        <v>-0.484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107</v>
      </c>
      <c r="B57" s="21" t="s">
        <v>396</v>
      </c>
      <c r="C57" s="21">
        <v>5264.409</v>
      </c>
      <c r="D57" s="21">
        <v>5954.072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2">
        <v>2</v>
      </c>
      <c r="L57" s="22">
        <v>0</v>
      </c>
      <c r="M57" s="22">
        <v>0</v>
      </c>
      <c r="N57" s="22">
        <v>0</v>
      </c>
      <c r="O57" s="22">
        <v>0</v>
      </c>
      <c r="P57" s="22">
        <v>1.437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110</v>
      </c>
      <c r="B58" s="21" t="s">
        <v>397</v>
      </c>
      <c r="C58" s="21">
        <v>4083.908</v>
      </c>
      <c r="D58" s="21">
        <v>4448.848</v>
      </c>
      <c r="E58" s="21">
        <v>0</v>
      </c>
      <c r="F58" s="21">
        <v>0</v>
      </c>
      <c r="G58" s="21">
        <v>1</v>
      </c>
      <c r="H58" s="18">
        <v>0</v>
      </c>
      <c r="I58" s="18">
        <v>0</v>
      </c>
      <c r="J58" s="18">
        <v>0</v>
      </c>
      <c r="K58" s="22">
        <v>2</v>
      </c>
      <c r="L58" s="22">
        <v>1</v>
      </c>
      <c r="M58" s="22">
        <v>0</v>
      </c>
      <c r="N58" s="22">
        <v>0</v>
      </c>
      <c r="O58" s="22">
        <v>0</v>
      </c>
      <c r="P58" s="22">
        <v>-0.801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123</v>
      </c>
      <c r="B59" s="21" t="s">
        <v>398</v>
      </c>
      <c r="C59" s="21">
        <v>6636.843</v>
      </c>
      <c r="D59" s="21">
        <v>7751.429</v>
      </c>
      <c r="E59" s="21">
        <v>0</v>
      </c>
      <c r="F59" s="21">
        <v>0</v>
      </c>
      <c r="G59" s="21">
        <v>1</v>
      </c>
      <c r="H59" s="18">
        <v>0</v>
      </c>
      <c r="I59" s="18">
        <v>0</v>
      </c>
      <c r="J59" s="18">
        <v>0</v>
      </c>
      <c r="K59" s="22">
        <v>2</v>
      </c>
      <c r="L59" s="22">
        <v>0</v>
      </c>
      <c r="M59" s="22">
        <v>0</v>
      </c>
      <c r="N59" s="22">
        <v>0</v>
      </c>
      <c r="O59" s="22">
        <v>0</v>
      </c>
      <c r="P59" s="22">
        <v>0.838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126</v>
      </c>
      <c r="B60" s="21" t="s">
        <v>399</v>
      </c>
      <c r="C60" s="21">
        <v>7807.006</v>
      </c>
      <c r="D60" s="21">
        <v>8521.746</v>
      </c>
      <c r="E60" s="21">
        <v>0</v>
      </c>
      <c r="F60" s="21">
        <v>0</v>
      </c>
      <c r="G60" s="21">
        <v>1</v>
      </c>
      <c r="H60" s="18">
        <v>0</v>
      </c>
      <c r="I60" s="18">
        <v>0</v>
      </c>
      <c r="J60" s="18">
        <v>0</v>
      </c>
      <c r="K60" s="22">
        <v>1</v>
      </c>
      <c r="L60" s="22">
        <v>0</v>
      </c>
      <c r="M60" s="22">
        <v>0</v>
      </c>
      <c r="N60" s="22">
        <v>1</v>
      </c>
      <c r="O60" s="22">
        <v>0</v>
      </c>
      <c r="P60" s="22">
        <v>0.023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135</v>
      </c>
      <c r="B61" s="21" t="s">
        <v>400</v>
      </c>
      <c r="C61" s="21">
        <v>5915.821</v>
      </c>
      <c r="D61" s="21">
        <v>6939.96</v>
      </c>
      <c r="E61" s="21">
        <v>0</v>
      </c>
      <c r="F61" s="21">
        <v>0</v>
      </c>
      <c r="G61" s="21">
        <v>1</v>
      </c>
      <c r="H61" s="18">
        <v>0</v>
      </c>
      <c r="I61" s="18">
        <v>0</v>
      </c>
      <c r="J61" s="18">
        <v>0</v>
      </c>
      <c r="K61" s="22">
        <v>1</v>
      </c>
      <c r="L61" s="22">
        <v>1</v>
      </c>
      <c r="M61" s="22">
        <v>0</v>
      </c>
      <c r="N61" s="22">
        <v>0</v>
      </c>
      <c r="O61" s="22">
        <v>0</v>
      </c>
      <c r="P61" s="22">
        <v>1.77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148</v>
      </c>
      <c r="B62" s="21" t="s">
        <v>401</v>
      </c>
      <c r="C62" s="21">
        <v>9047.234</v>
      </c>
      <c r="D62" s="21">
        <v>10119.69</v>
      </c>
      <c r="E62" s="21">
        <v>0</v>
      </c>
      <c r="F62" s="21">
        <v>0</v>
      </c>
      <c r="G62" s="21">
        <v>1</v>
      </c>
      <c r="H62" s="18">
        <v>0</v>
      </c>
      <c r="I62" s="18">
        <v>0</v>
      </c>
      <c r="J62" s="18">
        <v>0</v>
      </c>
      <c r="K62" s="22">
        <v>2</v>
      </c>
      <c r="L62" s="22">
        <v>2</v>
      </c>
      <c r="M62" s="22">
        <v>0</v>
      </c>
      <c r="N62" s="22">
        <v>0</v>
      </c>
      <c r="O62" s="22">
        <v>0</v>
      </c>
      <c r="P62" s="22">
        <v>1.275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155</v>
      </c>
      <c r="B63" s="21" t="s">
        <v>402</v>
      </c>
      <c r="C63" s="21">
        <v>3161.556</v>
      </c>
      <c r="D63" s="21">
        <v>3457.025</v>
      </c>
      <c r="E63" s="21">
        <v>0</v>
      </c>
      <c r="F63" s="21">
        <v>0</v>
      </c>
      <c r="G63" s="21">
        <v>1</v>
      </c>
      <c r="H63" s="18">
        <v>0</v>
      </c>
      <c r="I63" s="18">
        <v>0</v>
      </c>
      <c r="J63" s="18">
        <v>0</v>
      </c>
      <c r="K63" s="22">
        <v>1</v>
      </c>
      <c r="L63" s="22">
        <v>0</v>
      </c>
      <c r="M63" s="22">
        <v>0</v>
      </c>
      <c r="N63" s="22">
        <v>0</v>
      </c>
      <c r="O63" s="22">
        <v>0</v>
      </c>
      <c r="P63" s="22">
        <v>-1.966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162</v>
      </c>
      <c r="B64" s="21" t="s">
        <v>403</v>
      </c>
      <c r="C64" s="21">
        <v>3422.379</v>
      </c>
      <c r="D64" s="21">
        <v>4067.968</v>
      </c>
      <c r="E64" s="21">
        <v>0</v>
      </c>
      <c r="F64" s="21">
        <v>0</v>
      </c>
      <c r="G64" s="21">
        <v>1</v>
      </c>
      <c r="H64" s="18">
        <v>0</v>
      </c>
      <c r="I64" s="18">
        <v>0</v>
      </c>
      <c r="J64" s="18">
        <v>0</v>
      </c>
      <c r="K64" s="22">
        <v>2</v>
      </c>
      <c r="L64" s="22">
        <v>2</v>
      </c>
      <c r="M64" s="22">
        <v>0</v>
      </c>
      <c r="N64" s="22">
        <v>0</v>
      </c>
      <c r="O64" s="22">
        <v>0</v>
      </c>
      <c r="P64" s="22">
        <v>3.023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170</v>
      </c>
      <c r="B65" s="21" t="s">
        <v>404</v>
      </c>
      <c r="C65" s="21">
        <v>5979.087</v>
      </c>
      <c r="D65" s="21">
        <v>6569.25</v>
      </c>
      <c r="E65" s="21">
        <v>0</v>
      </c>
      <c r="F65" s="21">
        <v>0</v>
      </c>
      <c r="G65" s="21">
        <v>1</v>
      </c>
      <c r="H65" s="18">
        <v>0</v>
      </c>
      <c r="I65" s="18">
        <v>0</v>
      </c>
      <c r="J65" s="18">
        <v>0</v>
      </c>
      <c r="K65" s="22">
        <v>3</v>
      </c>
      <c r="L65" s="22">
        <v>2</v>
      </c>
      <c r="M65" s="22">
        <v>0</v>
      </c>
      <c r="N65" s="22">
        <v>0</v>
      </c>
      <c r="O65" s="22">
        <v>0</v>
      </c>
      <c r="P65" s="22">
        <v>3.921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688</v>
      </c>
      <c r="B66" s="21" t="s">
        <v>111</v>
      </c>
      <c r="C66" s="21">
        <v>1277.375</v>
      </c>
      <c r="D66" s="21">
        <v>1565.921</v>
      </c>
      <c r="E66" s="21">
        <v>0</v>
      </c>
      <c r="F66" s="21">
        <v>0</v>
      </c>
      <c r="G66" s="21">
        <v>1</v>
      </c>
      <c r="H66" s="18">
        <v>0</v>
      </c>
      <c r="I66" s="18">
        <v>0</v>
      </c>
      <c r="J66" s="18">
        <v>0</v>
      </c>
      <c r="K66" s="22">
        <v>2</v>
      </c>
      <c r="L66" s="22">
        <v>1</v>
      </c>
      <c r="M66" s="22">
        <v>0</v>
      </c>
      <c r="N66" s="22">
        <v>0</v>
      </c>
      <c r="O66" s="22">
        <v>0</v>
      </c>
      <c r="P66" s="22">
        <v>-5.795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691</v>
      </c>
      <c r="B67" s="21" t="s">
        <v>405</v>
      </c>
      <c r="C67" s="21">
        <v>1361.489</v>
      </c>
      <c r="D67" s="21">
        <v>1697.322</v>
      </c>
      <c r="E67" s="21">
        <v>0</v>
      </c>
      <c r="F67" s="21">
        <v>0</v>
      </c>
      <c r="G67" s="21">
        <v>1</v>
      </c>
      <c r="H67" s="18">
        <v>0</v>
      </c>
      <c r="I67" s="18">
        <v>0</v>
      </c>
      <c r="J67" s="18">
        <v>0</v>
      </c>
      <c r="K67" s="22">
        <v>3</v>
      </c>
      <c r="L67" s="22">
        <v>0</v>
      </c>
      <c r="M67" s="22">
        <v>0</v>
      </c>
      <c r="N67" s="22">
        <v>0</v>
      </c>
      <c r="O67" s="22">
        <v>0</v>
      </c>
      <c r="P67" s="22">
        <v>3.492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806</v>
      </c>
      <c r="B68" s="21" t="s">
        <v>406</v>
      </c>
      <c r="C68" s="21">
        <v>8122.928</v>
      </c>
      <c r="D68" s="21">
        <v>9083.366</v>
      </c>
      <c r="E68" s="21">
        <v>0</v>
      </c>
      <c r="F68" s="21">
        <v>0</v>
      </c>
      <c r="G68" s="21">
        <v>1</v>
      </c>
      <c r="H68" s="18">
        <v>0</v>
      </c>
      <c r="I68" s="18">
        <v>0</v>
      </c>
      <c r="J68" s="18">
        <v>0</v>
      </c>
      <c r="K68" s="22">
        <v>1</v>
      </c>
      <c r="L68" s="22">
        <v>2</v>
      </c>
      <c r="M68" s="22">
        <v>0</v>
      </c>
      <c r="N68" s="22">
        <v>1</v>
      </c>
      <c r="O68" s="22">
        <v>0</v>
      </c>
      <c r="P68" s="22">
        <v>6.179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849</v>
      </c>
      <c r="B69" s="21" t="s">
        <v>407</v>
      </c>
      <c r="C69" s="21">
        <v>10018.467</v>
      </c>
      <c r="D69" s="21">
        <v>12020.507</v>
      </c>
      <c r="E69" s="21">
        <v>0</v>
      </c>
      <c r="F69" s="21">
        <v>0</v>
      </c>
      <c r="G69" s="21">
        <v>1</v>
      </c>
      <c r="H69" s="18">
        <v>0</v>
      </c>
      <c r="I69" s="18">
        <v>0</v>
      </c>
      <c r="J69" s="18">
        <v>0</v>
      </c>
      <c r="K69" s="22">
        <v>3</v>
      </c>
      <c r="L69" s="22">
        <v>0</v>
      </c>
      <c r="M69" s="22">
        <v>0</v>
      </c>
      <c r="N69" s="22">
        <v>0</v>
      </c>
      <c r="O69" s="22">
        <v>0</v>
      </c>
      <c r="P69" s="22">
        <v>-1.014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865</v>
      </c>
      <c r="B70" s="21" t="s">
        <v>408</v>
      </c>
      <c r="C70" s="21">
        <v>1440.665</v>
      </c>
      <c r="D70" s="21">
        <v>1630.676</v>
      </c>
      <c r="E70" s="21">
        <v>0</v>
      </c>
      <c r="F70" s="21">
        <v>0</v>
      </c>
      <c r="G70" s="21">
        <v>1</v>
      </c>
      <c r="H70" s="18">
        <v>0</v>
      </c>
      <c r="I70" s="18">
        <v>0</v>
      </c>
      <c r="J70" s="18">
        <v>0</v>
      </c>
      <c r="K70" s="22">
        <v>3</v>
      </c>
      <c r="L70" s="22">
        <v>2</v>
      </c>
      <c r="M70" s="22">
        <v>0</v>
      </c>
      <c r="N70" s="22">
        <v>0</v>
      </c>
      <c r="O70" s="22">
        <v>0</v>
      </c>
      <c r="P70" s="22">
        <v>3.719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867</v>
      </c>
      <c r="B71" s="21" t="s">
        <v>409</v>
      </c>
      <c r="C71" s="21">
        <v>2642.942</v>
      </c>
      <c r="D71" s="21">
        <v>2951.857</v>
      </c>
      <c r="E71" s="21">
        <v>0</v>
      </c>
      <c r="F71" s="21">
        <v>0</v>
      </c>
      <c r="G71" s="21">
        <v>1</v>
      </c>
      <c r="H71" s="18">
        <v>0</v>
      </c>
      <c r="I71" s="18">
        <v>0</v>
      </c>
      <c r="J71" s="18">
        <v>0</v>
      </c>
      <c r="K71" s="22">
        <v>3</v>
      </c>
      <c r="L71" s="22">
        <v>1</v>
      </c>
      <c r="M71" s="22">
        <v>0</v>
      </c>
      <c r="N71" s="22">
        <v>0</v>
      </c>
      <c r="O71" s="22">
        <v>0</v>
      </c>
      <c r="P71" s="22">
        <v>1.638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911</v>
      </c>
      <c r="B72" s="21" t="s">
        <v>410</v>
      </c>
      <c r="C72" s="21">
        <v>6146.193</v>
      </c>
      <c r="D72" s="21">
        <v>6727.6</v>
      </c>
      <c r="E72" s="21">
        <v>0</v>
      </c>
      <c r="F72" s="21">
        <v>0</v>
      </c>
      <c r="G72" s="21">
        <v>1</v>
      </c>
      <c r="H72" s="18">
        <v>0</v>
      </c>
      <c r="I72" s="18">
        <v>0</v>
      </c>
      <c r="J72" s="18">
        <v>0</v>
      </c>
      <c r="K72" s="22">
        <v>1</v>
      </c>
      <c r="L72" s="22">
        <v>1</v>
      </c>
      <c r="M72" s="22">
        <v>0</v>
      </c>
      <c r="N72" s="22">
        <v>0</v>
      </c>
      <c r="O72" s="22">
        <v>0</v>
      </c>
      <c r="P72" s="22">
        <v>3.987</v>
      </c>
      <c r="Q72" s="22">
        <v>0</v>
      </c>
      <c r="R72" s="22">
        <v>1</v>
      </c>
      <c r="S72" s="23"/>
      <c r="T72" s="23"/>
      <c r="U72" s="23"/>
      <c r="V72" s="23"/>
      <c r="W72" s="23"/>
    </row>
    <row r="73" ht="16.5" spans="1:23">
      <c r="A73" s="21">
        <v>914</v>
      </c>
      <c r="B73" s="21" t="s">
        <v>411</v>
      </c>
      <c r="C73" s="21">
        <v>6248.816</v>
      </c>
      <c r="D73" s="21">
        <v>6962.665</v>
      </c>
      <c r="E73" s="21">
        <v>0</v>
      </c>
      <c r="F73" s="21">
        <v>0</v>
      </c>
      <c r="G73" s="21">
        <v>1</v>
      </c>
      <c r="H73" s="18">
        <v>0</v>
      </c>
      <c r="I73" s="18">
        <v>0</v>
      </c>
      <c r="J73" s="18">
        <v>0</v>
      </c>
      <c r="K73" s="22">
        <v>1</v>
      </c>
      <c r="L73" s="22">
        <v>0</v>
      </c>
      <c r="M73" s="22">
        <v>0</v>
      </c>
      <c r="N73" s="22">
        <v>0</v>
      </c>
      <c r="O73" s="22">
        <v>0</v>
      </c>
      <c r="P73" s="22">
        <v>15.739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915</v>
      </c>
      <c r="B74" s="21" t="s">
        <v>412</v>
      </c>
      <c r="C74" s="21">
        <v>3018.699</v>
      </c>
      <c r="D74" s="21">
        <v>3633.146</v>
      </c>
      <c r="E74" s="21">
        <v>0</v>
      </c>
      <c r="F74" s="21">
        <v>0</v>
      </c>
      <c r="G74" s="21">
        <v>1</v>
      </c>
      <c r="H74" s="18">
        <v>0</v>
      </c>
      <c r="I74" s="18">
        <v>0</v>
      </c>
      <c r="J74" s="18">
        <v>0</v>
      </c>
      <c r="K74" s="22">
        <v>3</v>
      </c>
      <c r="L74" s="22">
        <v>2</v>
      </c>
      <c r="M74" s="22">
        <v>-1</v>
      </c>
      <c r="N74" s="22">
        <v>1</v>
      </c>
      <c r="O74" s="22">
        <v>0</v>
      </c>
      <c r="P74" s="22">
        <v>23.674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931</v>
      </c>
      <c r="B75" s="21" t="s">
        <v>413</v>
      </c>
      <c r="C75" s="21">
        <v>5775.267</v>
      </c>
      <c r="D75" s="21">
        <v>6374.534</v>
      </c>
      <c r="E75" s="21">
        <v>0</v>
      </c>
      <c r="F75" s="21">
        <v>0</v>
      </c>
      <c r="G75" s="21">
        <v>1</v>
      </c>
      <c r="H75" s="18">
        <v>0</v>
      </c>
      <c r="I75" s="18">
        <v>0</v>
      </c>
      <c r="J75" s="18">
        <v>0</v>
      </c>
      <c r="K75" s="22">
        <v>2</v>
      </c>
      <c r="L75" s="22">
        <v>1</v>
      </c>
      <c r="M75" s="22">
        <v>0</v>
      </c>
      <c r="N75" s="22">
        <v>0</v>
      </c>
      <c r="O75" s="22">
        <v>0</v>
      </c>
      <c r="P75" s="22">
        <v>1.662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934</v>
      </c>
      <c r="B76" s="21" t="s">
        <v>414</v>
      </c>
      <c r="C76" s="21">
        <v>5867.636</v>
      </c>
      <c r="D76" s="21">
        <v>6499.468</v>
      </c>
      <c r="E76" s="21">
        <v>0</v>
      </c>
      <c r="F76" s="21">
        <v>0</v>
      </c>
      <c r="G76" s="21">
        <v>1</v>
      </c>
      <c r="H76" s="18">
        <v>0</v>
      </c>
      <c r="I76" s="18">
        <v>0</v>
      </c>
      <c r="J76" s="18">
        <v>0</v>
      </c>
      <c r="K76" s="22">
        <v>2</v>
      </c>
      <c r="L76" s="22">
        <v>1</v>
      </c>
      <c r="M76" s="22">
        <v>0</v>
      </c>
      <c r="N76" s="22">
        <v>0</v>
      </c>
      <c r="O76" s="22">
        <v>0</v>
      </c>
      <c r="P76" s="22">
        <v>-11.288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942</v>
      </c>
      <c r="B77" s="21" t="s">
        <v>415</v>
      </c>
      <c r="C77" s="21">
        <v>9693.043</v>
      </c>
      <c r="D77" s="21">
        <v>10528.12</v>
      </c>
      <c r="E77" s="21">
        <v>0</v>
      </c>
      <c r="F77" s="21">
        <v>0</v>
      </c>
      <c r="G77" s="21">
        <v>1</v>
      </c>
      <c r="H77" s="18">
        <v>0</v>
      </c>
      <c r="I77" s="18">
        <v>0</v>
      </c>
      <c r="J77" s="18">
        <v>0</v>
      </c>
      <c r="K77" s="22">
        <v>4</v>
      </c>
      <c r="L77" s="22">
        <v>0</v>
      </c>
      <c r="M77" s="22">
        <v>0</v>
      </c>
      <c r="N77" s="22">
        <v>0</v>
      </c>
      <c r="O77" s="22">
        <v>0</v>
      </c>
      <c r="P77" s="22">
        <v>1.413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948</v>
      </c>
      <c r="B78" s="21" t="s">
        <v>416</v>
      </c>
      <c r="C78" s="21">
        <v>2464.635</v>
      </c>
      <c r="D78" s="21">
        <v>2861.722</v>
      </c>
      <c r="E78" s="21">
        <v>0</v>
      </c>
      <c r="F78" s="21">
        <v>0</v>
      </c>
      <c r="G78" s="21">
        <v>1</v>
      </c>
      <c r="H78" s="18">
        <v>0</v>
      </c>
      <c r="I78" s="18">
        <v>0</v>
      </c>
      <c r="J78" s="18">
        <v>0</v>
      </c>
      <c r="K78" s="22">
        <v>3</v>
      </c>
      <c r="L78" s="22">
        <v>0</v>
      </c>
      <c r="M78" s="22">
        <v>0</v>
      </c>
      <c r="N78" s="22">
        <v>-1</v>
      </c>
      <c r="O78" s="22">
        <v>0</v>
      </c>
      <c r="P78" s="22">
        <v>-12.309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952</v>
      </c>
      <c r="B79" s="21" t="s">
        <v>417</v>
      </c>
      <c r="C79" s="21">
        <v>2362.087</v>
      </c>
      <c r="D79" s="21">
        <v>2822.877</v>
      </c>
      <c r="E79" s="21">
        <v>0</v>
      </c>
      <c r="F79" s="21">
        <v>0</v>
      </c>
      <c r="G79" s="21">
        <v>1</v>
      </c>
      <c r="H79" s="18">
        <v>0</v>
      </c>
      <c r="I79" s="18">
        <v>0</v>
      </c>
      <c r="J79" s="18">
        <v>0</v>
      </c>
      <c r="K79" s="22">
        <v>2</v>
      </c>
      <c r="L79" s="22">
        <v>0</v>
      </c>
      <c r="M79" s="22">
        <v>0</v>
      </c>
      <c r="N79" s="22">
        <v>0</v>
      </c>
      <c r="O79" s="22">
        <v>0</v>
      </c>
      <c r="P79" s="22">
        <v>-0.04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959</v>
      </c>
      <c r="B80" s="21" t="s">
        <v>418</v>
      </c>
      <c r="C80" s="21">
        <v>7871.492</v>
      </c>
      <c r="D80" s="21">
        <v>8433.687</v>
      </c>
      <c r="E80" s="21">
        <v>0</v>
      </c>
      <c r="F80" s="21">
        <v>0</v>
      </c>
      <c r="G80" s="21">
        <v>1</v>
      </c>
      <c r="H80" s="18">
        <v>0</v>
      </c>
      <c r="I80" s="18">
        <v>0</v>
      </c>
      <c r="J80" s="18">
        <v>0</v>
      </c>
      <c r="K80" s="22">
        <v>2</v>
      </c>
      <c r="L80" s="22">
        <v>1</v>
      </c>
      <c r="M80" s="22">
        <v>0</v>
      </c>
      <c r="N80" s="22">
        <v>0</v>
      </c>
      <c r="O80" s="22">
        <v>0</v>
      </c>
      <c r="P80" s="22">
        <v>-3.611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965</v>
      </c>
      <c r="B81" s="21" t="s">
        <v>419</v>
      </c>
      <c r="C81" s="21">
        <v>5419.368</v>
      </c>
      <c r="D81" s="21">
        <v>5733.541</v>
      </c>
      <c r="E81" s="21">
        <v>0</v>
      </c>
      <c r="F81" s="21">
        <v>0</v>
      </c>
      <c r="G81" s="21">
        <v>1</v>
      </c>
      <c r="H81" s="18">
        <v>0</v>
      </c>
      <c r="I81" s="18">
        <v>0</v>
      </c>
      <c r="J81" s="18">
        <v>0</v>
      </c>
      <c r="K81" s="22">
        <v>3</v>
      </c>
      <c r="L81" s="22">
        <v>0</v>
      </c>
      <c r="M81" s="22">
        <v>0</v>
      </c>
      <c r="N81" s="22">
        <v>0</v>
      </c>
      <c r="O81" s="22">
        <v>0</v>
      </c>
      <c r="P81" s="22">
        <v>3.777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971</v>
      </c>
      <c r="B82" s="21" t="s">
        <v>420</v>
      </c>
      <c r="C82" s="21">
        <v>3194.212</v>
      </c>
      <c r="D82" s="21">
        <v>3566.282</v>
      </c>
      <c r="E82" s="21">
        <v>0</v>
      </c>
      <c r="F82" s="21">
        <v>0</v>
      </c>
      <c r="G82" s="21">
        <v>1</v>
      </c>
      <c r="H82" s="18">
        <v>0</v>
      </c>
      <c r="I82" s="18">
        <v>0</v>
      </c>
      <c r="J82" s="18">
        <v>0</v>
      </c>
      <c r="K82" s="22">
        <v>2</v>
      </c>
      <c r="L82" s="22">
        <v>1</v>
      </c>
      <c r="M82" s="22">
        <v>0</v>
      </c>
      <c r="N82" s="22">
        <v>0</v>
      </c>
      <c r="O82" s="22">
        <v>0</v>
      </c>
      <c r="P82" s="22">
        <v>1.193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974</v>
      </c>
      <c r="B83" s="21" t="s">
        <v>421</v>
      </c>
      <c r="C83" s="21">
        <v>6574.734</v>
      </c>
      <c r="D83" s="21">
        <v>7300.817</v>
      </c>
      <c r="E83" s="21">
        <v>0</v>
      </c>
      <c r="F83" s="21">
        <v>0</v>
      </c>
      <c r="G83" s="21">
        <v>1</v>
      </c>
      <c r="H83" s="18">
        <v>0</v>
      </c>
      <c r="I83" s="18">
        <v>0</v>
      </c>
      <c r="J83" s="18">
        <v>0</v>
      </c>
      <c r="K83" s="22">
        <v>3</v>
      </c>
      <c r="L83" s="22">
        <v>0</v>
      </c>
      <c r="M83" s="22">
        <v>0</v>
      </c>
      <c r="N83" s="22">
        <v>0</v>
      </c>
      <c r="O83" s="22">
        <v>0</v>
      </c>
      <c r="P83" s="22">
        <v>1.73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980</v>
      </c>
      <c r="B84" s="21" t="s">
        <v>422</v>
      </c>
      <c r="C84" s="21">
        <v>3243.374</v>
      </c>
      <c r="D84" s="21">
        <v>3472.98</v>
      </c>
      <c r="E84" s="21">
        <v>0</v>
      </c>
      <c r="F84" s="21">
        <v>0</v>
      </c>
      <c r="G84" s="21">
        <v>1</v>
      </c>
      <c r="H84" s="18">
        <v>0</v>
      </c>
      <c r="I84" s="18">
        <v>0</v>
      </c>
      <c r="J84" s="18">
        <v>0</v>
      </c>
      <c r="K84" s="22">
        <v>2</v>
      </c>
      <c r="L84" s="22">
        <v>1</v>
      </c>
      <c r="M84" s="22">
        <v>0</v>
      </c>
      <c r="N84" s="22">
        <v>0</v>
      </c>
      <c r="O84" s="22">
        <v>0</v>
      </c>
      <c r="P84" s="22">
        <v>-2.157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989</v>
      </c>
      <c r="B85" s="21" t="s">
        <v>423</v>
      </c>
      <c r="C85" s="21">
        <v>5214.322</v>
      </c>
      <c r="D85" s="21">
        <v>5771.765</v>
      </c>
      <c r="E85" s="21">
        <v>0</v>
      </c>
      <c r="F85" s="21">
        <v>0</v>
      </c>
      <c r="G85" s="21">
        <v>1</v>
      </c>
      <c r="H85" s="18">
        <v>0</v>
      </c>
      <c r="I85" s="18">
        <v>0</v>
      </c>
      <c r="J85" s="18">
        <v>0</v>
      </c>
      <c r="K85" s="22">
        <v>1</v>
      </c>
      <c r="L85" s="22">
        <v>1</v>
      </c>
      <c r="M85" s="22">
        <v>0</v>
      </c>
      <c r="N85" s="22">
        <v>0</v>
      </c>
      <c r="O85" s="22">
        <v>0</v>
      </c>
      <c r="P85" s="22">
        <v>2.799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992</v>
      </c>
      <c r="B86" s="21" t="s">
        <v>424</v>
      </c>
      <c r="C86" s="21">
        <v>5618.726</v>
      </c>
      <c r="D86" s="21">
        <v>6204.377</v>
      </c>
      <c r="E86" s="21">
        <v>0</v>
      </c>
      <c r="F86" s="21">
        <v>0</v>
      </c>
      <c r="G86" s="21">
        <v>1</v>
      </c>
      <c r="H86" s="18">
        <v>0</v>
      </c>
      <c r="I86" s="18">
        <v>0</v>
      </c>
      <c r="J86" s="18">
        <v>0</v>
      </c>
      <c r="K86" s="22">
        <v>3</v>
      </c>
      <c r="L86" s="22">
        <v>1</v>
      </c>
      <c r="M86" s="22">
        <v>0</v>
      </c>
      <c r="N86" s="22">
        <v>0</v>
      </c>
      <c r="O86" s="22">
        <v>0</v>
      </c>
      <c r="P86" s="22">
        <v>-16.702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399003</v>
      </c>
      <c r="B87" s="21" t="s">
        <v>425</v>
      </c>
      <c r="C87" s="21">
        <v>7937.435</v>
      </c>
      <c r="D87" s="21">
        <v>8608.738</v>
      </c>
      <c r="E87" s="21">
        <v>0</v>
      </c>
      <c r="F87" s="21">
        <v>0</v>
      </c>
      <c r="G87" s="21">
        <v>1</v>
      </c>
      <c r="H87" s="18">
        <v>0</v>
      </c>
      <c r="I87" s="18">
        <v>0</v>
      </c>
      <c r="J87" s="18">
        <v>0</v>
      </c>
      <c r="K87" s="22">
        <v>2</v>
      </c>
      <c r="L87" s="22">
        <v>1</v>
      </c>
      <c r="M87" s="22">
        <v>0</v>
      </c>
      <c r="N87" s="22">
        <v>0</v>
      </c>
      <c r="O87" s="22">
        <v>0</v>
      </c>
      <c r="P87" s="22">
        <v>1.499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399108</v>
      </c>
      <c r="B88" s="21" t="s">
        <v>165</v>
      </c>
      <c r="C88" s="21">
        <v>1216.062</v>
      </c>
      <c r="D88" s="21">
        <v>1305.403</v>
      </c>
      <c r="E88" s="21">
        <v>0</v>
      </c>
      <c r="F88" s="21">
        <v>0</v>
      </c>
      <c r="G88" s="21">
        <v>1</v>
      </c>
      <c r="H88" s="18">
        <v>0</v>
      </c>
      <c r="I88" s="18">
        <v>0</v>
      </c>
      <c r="J88" s="18">
        <v>0</v>
      </c>
      <c r="K88" s="22">
        <v>2</v>
      </c>
      <c r="L88" s="22">
        <v>0</v>
      </c>
      <c r="M88" s="22">
        <v>0</v>
      </c>
      <c r="N88" s="22">
        <v>0</v>
      </c>
      <c r="O88" s="22">
        <v>0</v>
      </c>
      <c r="P88" s="22">
        <v>1.062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399236</v>
      </c>
      <c r="B89" s="21" t="s">
        <v>426</v>
      </c>
      <c r="C89" s="21">
        <v>1473.551</v>
      </c>
      <c r="D89" s="21">
        <v>1683.543</v>
      </c>
      <c r="E89" s="21">
        <v>0</v>
      </c>
      <c r="F89" s="21">
        <v>0</v>
      </c>
      <c r="G89" s="21">
        <v>1</v>
      </c>
      <c r="H89" s="18">
        <v>0</v>
      </c>
      <c r="I89" s="18">
        <v>0</v>
      </c>
      <c r="J89" s="18">
        <v>0</v>
      </c>
      <c r="K89" s="22">
        <v>2</v>
      </c>
      <c r="L89" s="22">
        <v>0</v>
      </c>
      <c r="M89" s="22">
        <v>0</v>
      </c>
      <c r="N89" s="22">
        <v>0</v>
      </c>
      <c r="O89" s="22">
        <v>0</v>
      </c>
      <c r="P89" s="22">
        <v>1.537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399240</v>
      </c>
      <c r="B90" s="21" t="s">
        <v>427</v>
      </c>
      <c r="C90" s="21">
        <v>1515.717</v>
      </c>
      <c r="D90" s="21">
        <v>1722.578</v>
      </c>
      <c r="E90" s="21">
        <v>0</v>
      </c>
      <c r="F90" s="21">
        <v>0</v>
      </c>
      <c r="G90" s="21">
        <v>1</v>
      </c>
      <c r="H90" s="18">
        <v>0</v>
      </c>
      <c r="I90" s="18">
        <v>0</v>
      </c>
      <c r="J90" s="18">
        <v>0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-0.006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399241</v>
      </c>
      <c r="B91" s="21" t="s">
        <v>376</v>
      </c>
      <c r="C91" s="21">
        <v>1153.163</v>
      </c>
      <c r="D91" s="21">
        <v>1351.314</v>
      </c>
      <c r="E91" s="21">
        <v>0</v>
      </c>
      <c r="F91" s="21">
        <v>0</v>
      </c>
      <c r="G91" s="21">
        <v>1</v>
      </c>
      <c r="H91" s="18">
        <v>0</v>
      </c>
      <c r="I91" s="18">
        <v>0</v>
      </c>
      <c r="J91" s="18">
        <v>0</v>
      </c>
      <c r="K91" s="22">
        <v>3</v>
      </c>
      <c r="L91" s="22">
        <v>1</v>
      </c>
      <c r="M91" s="22">
        <v>0</v>
      </c>
      <c r="N91" s="22">
        <v>0</v>
      </c>
      <c r="O91" s="22">
        <v>0</v>
      </c>
      <c r="P91" s="22">
        <v>1.695</v>
      </c>
      <c r="Q91" s="22">
        <v>0</v>
      </c>
      <c r="R91" s="22">
        <v>1</v>
      </c>
      <c r="S91" s="23"/>
      <c r="T91" s="23"/>
      <c r="U91" s="23"/>
      <c r="V91" s="23"/>
      <c r="W91" s="23"/>
    </row>
    <row r="92" ht="16.5" spans="1:23">
      <c r="A92" s="21">
        <v>399248</v>
      </c>
      <c r="B92" s="21" t="s">
        <v>428</v>
      </c>
      <c r="C92" s="21">
        <v>862.337</v>
      </c>
      <c r="D92" s="21">
        <v>1202.279</v>
      </c>
      <c r="E92" s="21">
        <v>0</v>
      </c>
      <c r="F92" s="21">
        <v>0</v>
      </c>
      <c r="G92" s="21">
        <v>1</v>
      </c>
      <c r="H92" s="18">
        <v>0</v>
      </c>
      <c r="I92" s="18">
        <v>0</v>
      </c>
      <c r="J92" s="18">
        <v>0</v>
      </c>
      <c r="K92" s="22">
        <v>2</v>
      </c>
      <c r="L92" s="22">
        <v>2</v>
      </c>
      <c r="M92" s="22">
        <v>0</v>
      </c>
      <c r="N92" s="22">
        <v>1</v>
      </c>
      <c r="O92" s="22">
        <v>0</v>
      </c>
      <c r="P92" s="22">
        <v>19.892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399264</v>
      </c>
      <c r="B93" s="21" t="s">
        <v>429</v>
      </c>
      <c r="C93" s="21">
        <v>1355.279</v>
      </c>
      <c r="D93" s="21">
        <v>1847.838</v>
      </c>
      <c r="E93" s="21">
        <v>0</v>
      </c>
      <c r="F93" s="21">
        <v>0</v>
      </c>
      <c r="G93" s="21">
        <v>1</v>
      </c>
      <c r="H93" s="18">
        <v>0</v>
      </c>
      <c r="I93" s="18">
        <v>0</v>
      </c>
      <c r="J93" s="18">
        <v>0</v>
      </c>
      <c r="K93" s="22">
        <v>3</v>
      </c>
      <c r="L93" s="22">
        <v>0</v>
      </c>
      <c r="M93" s="22">
        <v>0</v>
      </c>
      <c r="N93" s="22">
        <v>-1</v>
      </c>
      <c r="O93" s="22">
        <v>0</v>
      </c>
      <c r="P93" s="22">
        <v>2.893</v>
      </c>
      <c r="Q93" s="22">
        <v>-1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399282</v>
      </c>
      <c r="B94" s="21" t="s">
        <v>430</v>
      </c>
      <c r="C94" s="21">
        <v>4807.294</v>
      </c>
      <c r="D94" s="21">
        <v>6312.469</v>
      </c>
      <c r="E94" s="21">
        <v>0</v>
      </c>
      <c r="F94" s="21">
        <v>0</v>
      </c>
      <c r="G94" s="21">
        <v>1</v>
      </c>
      <c r="H94" s="18">
        <v>0</v>
      </c>
      <c r="I94" s="18">
        <v>0</v>
      </c>
      <c r="J94" s="18">
        <v>0</v>
      </c>
      <c r="K94" s="22">
        <v>2</v>
      </c>
      <c r="L94" s="22">
        <v>0</v>
      </c>
      <c r="M94" s="22">
        <v>0</v>
      </c>
      <c r="N94" s="22">
        <v>0</v>
      </c>
      <c r="O94" s="22">
        <v>0</v>
      </c>
      <c r="P94" s="22">
        <v>3.476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399284</v>
      </c>
      <c r="B95" s="21" t="s">
        <v>431</v>
      </c>
      <c r="C95" s="21">
        <v>3565.09</v>
      </c>
      <c r="D95" s="21">
        <v>4407.426</v>
      </c>
      <c r="E95" s="21">
        <v>0</v>
      </c>
      <c r="F95" s="21">
        <v>0</v>
      </c>
      <c r="G95" s="21">
        <v>1</v>
      </c>
      <c r="H95" s="18">
        <v>0</v>
      </c>
      <c r="I95" s="18">
        <v>0</v>
      </c>
      <c r="J95" s="18">
        <v>0</v>
      </c>
      <c r="K95" s="22">
        <v>2</v>
      </c>
      <c r="L95" s="22">
        <v>0</v>
      </c>
      <c r="M95" s="22">
        <v>0</v>
      </c>
      <c r="N95" s="22">
        <v>0</v>
      </c>
      <c r="O95" s="22">
        <v>0</v>
      </c>
      <c r="P95" s="22">
        <v>-5.438</v>
      </c>
      <c r="Q95" s="22">
        <v>0</v>
      </c>
      <c r="R95" s="22">
        <v>-1</v>
      </c>
      <c r="S95" s="23"/>
      <c r="T95" s="23"/>
      <c r="U95" s="23"/>
      <c r="V95" s="23"/>
      <c r="W95" s="23"/>
    </row>
    <row r="96" ht="16.5" spans="1:23">
      <c r="A96" s="21">
        <v>399286</v>
      </c>
      <c r="B96" s="21" t="s">
        <v>432</v>
      </c>
      <c r="C96" s="21">
        <v>3802.992</v>
      </c>
      <c r="D96" s="21">
        <v>4743.156</v>
      </c>
      <c r="E96" s="21">
        <v>0</v>
      </c>
      <c r="F96" s="21">
        <v>0</v>
      </c>
      <c r="G96" s="21">
        <v>1</v>
      </c>
      <c r="H96" s="18">
        <v>0</v>
      </c>
      <c r="I96" s="18">
        <v>0</v>
      </c>
      <c r="J96" s="18">
        <v>0</v>
      </c>
      <c r="K96" s="22">
        <v>0</v>
      </c>
      <c r="L96" s="22">
        <v>1</v>
      </c>
      <c r="M96" s="22">
        <v>0</v>
      </c>
      <c r="N96" s="22">
        <v>0</v>
      </c>
      <c r="O96" s="22">
        <v>0</v>
      </c>
      <c r="P96" s="22">
        <v>4.549</v>
      </c>
      <c r="Q96" s="22">
        <v>0</v>
      </c>
      <c r="R96" s="22">
        <v>1</v>
      </c>
      <c r="S96" s="23"/>
      <c r="T96" s="23"/>
      <c r="U96" s="23"/>
      <c r="V96" s="23"/>
      <c r="W96" s="23"/>
    </row>
    <row r="97" ht="16.5" spans="1:23">
      <c r="A97" s="21">
        <v>399313</v>
      </c>
      <c r="B97" s="21" t="s">
        <v>433</v>
      </c>
      <c r="C97" s="21">
        <v>5196.339</v>
      </c>
      <c r="D97" s="21">
        <v>5620.171</v>
      </c>
      <c r="E97" s="21">
        <v>0</v>
      </c>
      <c r="F97" s="21">
        <v>0</v>
      </c>
      <c r="G97" s="21">
        <v>1</v>
      </c>
      <c r="H97" s="18">
        <v>0</v>
      </c>
      <c r="I97" s="18">
        <v>0</v>
      </c>
      <c r="J97" s="18">
        <v>0</v>
      </c>
      <c r="K97" s="22">
        <v>2</v>
      </c>
      <c r="L97" s="22">
        <v>0</v>
      </c>
      <c r="M97" s="22">
        <v>0</v>
      </c>
      <c r="N97" s="22">
        <v>0</v>
      </c>
      <c r="O97" s="22">
        <v>0</v>
      </c>
      <c r="P97" s="22">
        <v>24.145</v>
      </c>
      <c r="Q97" s="22">
        <v>0</v>
      </c>
      <c r="R97" s="22">
        <v>1</v>
      </c>
      <c r="S97" s="23"/>
      <c r="T97" s="23"/>
      <c r="U97" s="23"/>
      <c r="V97" s="23"/>
      <c r="W97" s="23"/>
    </row>
    <row r="98" ht="16.5" spans="1:23">
      <c r="A98" s="21">
        <v>399314</v>
      </c>
      <c r="B98" s="21" t="s">
        <v>434</v>
      </c>
      <c r="C98" s="21">
        <v>4918.17</v>
      </c>
      <c r="D98" s="21">
        <v>5323.996</v>
      </c>
      <c r="E98" s="21">
        <v>0</v>
      </c>
      <c r="F98" s="21">
        <v>0</v>
      </c>
      <c r="G98" s="21">
        <v>1</v>
      </c>
      <c r="H98" s="18">
        <v>0</v>
      </c>
      <c r="I98" s="18">
        <v>0</v>
      </c>
      <c r="J98" s="18">
        <v>0</v>
      </c>
      <c r="K98" s="22">
        <v>1</v>
      </c>
      <c r="L98" s="22">
        <v>2</v>
      </c>
      <c r="M98" s="22">
        <v>0</v>
      </c>
      <c r="N98" s="22">
        <v>1</v>
      </c>
      <c r="O98" s="22">
        <v>0</v>
      </c>
      <c r="P98" s="22">
        <v>22.834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399341</v>
      </c>
      <c r="B99" s="21" t="s">
        <v>435</v>
      </c>
      <c r="C99" s="21">
        <v>1604.268</v>
      </c>
      <c r="D99" s="21">
        <v>1725.434</v>
      </c>
      <c r="E99" s="21">
        <v>0</v>
      </c>
      <c r="F99" s="21">
        <v>0</v>
      </c>
      <c r="G99" s="21">
        <v>1</v>
      </c>
      <c r="H99" s="18">
        <v>0</v>
      </c>
      <c r="I99" s="18">
        <v>0</v>
      </c>
      <c r="J99" s="18">
        <v>0</v>
      </c>
      <c r="K99" s="22">
        <v>1</v>
      </c>
      <c r="L99" s="22">
        <v>0</v>
      </c>
      <c r="M99" s="22">
        <v>0</v>
      </c>
      <c r="N99" s="22">
        <v>0</v>
      </c>
      <c r="O99" s="22">
        <v>0</v>
      </c>
      <c r="P99" s="22">
        <v>1.285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399350</v>
      </c>
      <c r="B100" s="21" t="s">
        <v>436</v>
      </c>
      <c r="C100" s="21">
        <v>2798.032</v>
      </c>
      <c r="D100" s="21">
        <v>3303.549</v>
      </c>
      <c r="E100" s="21">
        <v>0</v>
      </c>
      <c r="F100" s="21">
        <v>0</v>
      </c>
      <c r="G100" s="21">
        <v>1</v>
      </c>
      <c r="H100" s="18">
        <v>0</v>
      </c>
      <c r="I100" s="18">
        <v>0</v>
      </c>
      <c r="J100" s="18">
        <v>0</v>
      </c>
      <c r="K100" s="22">
        <v>2</v>
      </c>
      <c r="L100" s="22">
        <v>1</v>
      </c>
      <c r="M100" s="22">
        <v>0</v>
      </c>
      <c r="N100" s="22">
        <v>0</v>
      </c>
      <c r="O100" s="22">
        <v>0</v>
      </c>
      <c r="P100" s="22">
        <v>-23.205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399351</v>
      </c>
      <c r="B101" s="21" t="s">
        <v>437</v>
      </c>
      <c r="C101" s="21">
        <v>10006.929</v>
      </c>
      <c r="D101" s="21">
        <v>11159.214</v>
      </c>
      <c r="E101" s="21">
        <v>0</v>
      </c>
      <c r="F101" s="21">
        <v>0</v>
      </c>
      <c r="G101" s="21">
        <v>1</v>
      </c>
      <c r="H101" s="18">
        <v>0</v>
      </c>
      <c r="I101" s="18">
        <v>0</v>
      </c>
      <c r="J101" s="18">
        <v>0</v>
      </c>
      <c r="K101" s="22">
        <v>4</v>
      </c>
      <c r="L101" s="22">
        <v>0</v>
      </c>
      <c r="M101" s="22">
        <v>0</v>
      </c>
      <c r="N101" s="22">
        <v>0</v>
      </c>
      <c r="O101" s="22">
        <v>0</v>
      </c>
      <c r="P101" s="22">
        <v>5.188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399352</v>
      </c>
      <c r="B102" s="21" t="s">
        <v>438</v>
      </c>
      <c r="C102" s="21">
        <v>10237.427</v>
      </c>
      <c r="D102" s="21">
        <v>11371.19</v>
      </c>
      <c r="E102" s="21">
        <v>0</v>
      </c>
      <c r="F102" s="21">
        <v>0</v>
      </c>
      <c r="G102" s="21">
        <v>1</v>
      </c>
      <c r="H102" s="18">
        <v>0</v>
      </c>
      <c r="I102" s="18">
        <v>0</v>
      </c>
      <c r="J102" s="18">
        <v>0</v>
      </c>
      <c r="K102" s="22">
        <v>3</v>
      </c>
      <c r="L102" s="22">
        <v>0</v>
      </c>
      <c r="M102" s="22">
        <v>0</v>
      </c>
      <c r="N102" s="22">
        <v>-1</v>
      </c>
      <c r="O102" s="22">
        <v>0</v>
      </c>
      <c r="P102" s="22">
        <v>-18.97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399354</v>
      </c>
      <c r="B103" s="21" t="s">
        <v>326</v>
      </c>
      <c r="C103" s="21">
        <v>8149.238</v>
      </c>
      <c r="D103" s="21">
        <v>8698.975</v>
      </c>
      <c r="E103" s="21">
        <v>0</v>
      </c>
      <c r="F103" s="21">
        <v>0</v>
      </c>
      <c r="G103" s="21">
        <v>1</v>
      </c>
      <c r="H103" s="18">
        <v>0</v>
      </c>
      <c r="I103" s="18">
        <v>0</v>
      </c>
      <c r="J103" s="18">
        <v>0</v>
      </c>
      <c r="K103" s="22">
        <v>3</v>
      </c>
      <c r="L103" s="22">
        <v>0</v>
      </c>
      <c r="M103" s="22">
        <v>0</v>
      </c>
      <c r="N103" s="22">
        <v>-1</v>
      </c>
      <c r="O103" s="22">
        <v>0</v>
      </c>
      <c r="P103" s="22">
        <v>-3.099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399355</v>
      </c>
      <c r="B104" s="21" t="s">
        <v>182</v>
      </c>
      <c r="C104" s="21">
        <v>3512.485</v>
      </c>
      <c r="D104" s="21">
        <v>3914.203</v>
      </c>
      <c r="E104" s="21">
        <v>0</v>
      </c>
      <c r="F104" s="21">
        <v>0</v>
      </c>
      <c r="G104" s="21">
        <v>1</v>
      </c>
      <c r="H104" s="18">
        <v>0</v>
      </c>
      <c r="I104" s="18">
        <v>0</v>
      </c>
      <c r="J104" s="18">
        <v>0</v>
      </c>
      <c r="K104" s="22">
        <v>2</v>
      </c>
      <c r="L104" s="22">
        <v>0</v>
      </c>
      <c r="M104" s="22">
        <v>0</v>
      </c>
      <c r="N104" s="22">
        <v>0</v>
      </c>
      <c r="O104" s="22">
        <v>0</v>
      </c>
      <c r="P104" s="22">
        <v>-2.677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399356</v>
      </c>
      <c r="B105" s="21" t="s">
        <v>179</v>
      </c>
      <c r="C105" s="21">
        <v>9682.898</v>
      </c>
      <c r="D105" s="21">
        <v>10814.613</v>
      </c>
      <c r="E105" s="21">
        <v>0</v>
      </c>
      <c r="F105" s="21">
        <v>0</v>
      </c>
      <c r="G105" s="21">
        <v>1</v>
      </c>
      <c r="H105" s="18">
        <v>0</v>
      </c>
      <c r="I105" s="18">
        <v>0</v>
      </c>
      <c r="J105" s="18">
        <v>0</v>
      </c>
      <c r="K105" s="22">
        <v>0</v>
      </c>
      <c r="L105" s="22">
        <v>0</v>
      </c>
      <c r="M105" s="22">
        <v>0</v>
      </c>
      <c r="N105" s="22">
        <v>-1</v>
      </c>
      <c r="O105" s="22">
        <v>0</v>
      </c>
      <c r="P105" s="22">
        <v>0.005</v>
      </c>
      <c r="Q105" s="22">
        <v>0</v>
      </c>
      <c r="R105" s="22">
        <v>-1</v>
      </c>
      <c r="S105" s="23"/>
      <c r="T105" s="23"/>
      <c r="U105" s="23"/>
      <c r="V105" s="23"/>
      <c r="W105" s="23"/>
    </row>
    <row r="106" ht="16.5" spans="1:23">
      <c r="A106" s="21">
        <v>399367</v>
      </c>
      <c r="B106" s="21" t="s">
        <v>439</v>
      </c>
      <c r="C106" s="21">
        <v>2431.785</v>
      </c>
      <c r="D106" s="21">
        <v>2832.037</v>
      </c>
      <c r="E106" s="21">
        <v>0</v>
      </c>
      <c r="F106" s="21">
        <v>0</v>
      </c>
      <c r="G106" s="21">
        <v>1</v>
      </c>
      <c r="H106" s="18">
        <v>0</v>
      </c>
      <c r="I106" s="18">
        <v>0</v>
      </c>
      <c r="J106" s="18">
        <v>0</v>
      </c>
      <c r="K106" s="22">
        <v>2</v>
      </c>
      <c r="L106" s="22">
        <v>0</v>
      </c>
      <c r="M106" s="22">
        <v>0</v>
      </c>
      <c r="N106" s="22">
        <v>0</v>
      </c>
      <c r="O106" s="22">
        <v>0</v>
      </c>
      <c r="P106" s="22">
        <v>-0.835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399384</v>
      </c>
      <c r="B107" s="21" t="s">
        <v>440</v>
      </c>
      <c r="C107" s="21">
        <v>3955.508</v>
      </c>
      <c r="D107" s="21">
        <v>4423.897</v>
      </c>
      <c r="E107" s="21">
        <v>0</v>
      </c>
      <c r="F107" s="21">
        <v>0</v>
      </c>
      <c r="G107" s="21">
        <v>1</v>
      </c>
      <c r="H107" s="18">
        <v>0</v>
      </c>
      <c r="I107" s="18">
        <v>0</v>
      </c>
      <c r="J107" s="18">
        <v>0</v>
      </c>
      <c r="K107" s="22">
        <v>2</v>
      </c>
      <c r="L107" s="22">
        <v>0</v>
      </c>
      <c r="M107" s="22">
        <v>0</v>
      </c>
      <c r="N107" s="22">
        <v>0</v>
      </c>
      <c r="O107" s="22">
        <v>0</v>
      </c>
      <c r="P107" s="22">
        <v>8.083</v>
      </c>
      <c r="Q107" s="22">
        <v>0</v>
      </c>
      <c r="R107" s="22">
        <v>1</v>
      </c>
      <c r="S107" s="23"/>
      <c r="T107" s="23"/>
      <c r="U107" s="23"/>
      <c r="V107" s="23"/>
      <c r="W107" s="23"/>
    </row>
    <row r="108" ht="16.5" spans="1:23">
      <c r="A108" s="21">
        <v>399387</v>
      </c>
      <c r="B108" s="21" t="s">
        <v>441</v>
      </c>
      <c r="C108" s="21">
        <v>5283.966</v>
      </c>
      <c r="D108" s="21">
        <v>5859.924</v>
      </c>
      <c r="E108" s="21">
        <v>0</v>
      </c>
      <c r="F108" s="21">
        <v>0</v>
      </c>
      <c r="G108" s="21">
        <v>1</v>
      </c>
      <c r="H108" s="18">
        <v>0</v>
      </c>
      <c r="I108" s="18">
        <v>0</v>
      </c>
      <c r="J108" s="18">
        <v>0</v>
      </c>
      <c r="K108" s="22">
        <v>2</v>
      </c>
      <c r="L108" s="22">
        <v>0</v>
      </c>
      <c r="M108" s="22">
        <v>0</v>
      </c>
      <c r="N108" s="22">
        <v>0</v>
      </c>
      <c r="O108" s="22">
        <v>0</v>
      </c>
      <c r="P108" s="22">
        <v>-3.057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399393</v>
      </c>
      <c r="B109" s="21" t="s">
        <v>442</v>
      </c>
      <c r="C109" s="21">
        <v>2989.963</v>
      </c>
      <c r="D109" s="21">
        <v>3453.749</v>
      </c>
      <c r="E109" s="21">
        <v>0</v>
      </c>
      <c r="F109" s="21">
        <v>0</v>
      </c>
      <c r="G109" s="21">
        <v>1</v>
      </c>
      <c r="H109" s="18">
        <v>0</v>
      </c>
      <c r="I109" s="18">
        <v>0</v>
      </c>
      <c r="J109" s="18">
        <v>0</v>
      </c>
      <c r="K109" s="22">
        <v>2</v>
      </c>
      <c r="L109" s="22">
        <v>0</v>
      </c>
      <c r="M109" s="22">
        <v>0</v>
      </c>
      <c r="N109" s="22">
        <v>0</v>
      </c>
      <c r="O109" s="22">
        <v>0</v>
      </c>
      <c r="P109" s="22">
        <v>0.496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399399</v>
      </c>
      <c r="B110" s="21" t="s">
        <v>443</v>
      </c>
      <c r="C110" s="21">
        <v>7942.659</v>
      </c>
      <c r="D110" s="21">
        <v>8640.512</v>
      </c>
      <c r="E110" s="21">
        <v>0</v>
      </c>
      <c r="F110" s="21">
        <v>0</v>
      </c>
      <c r="G110" s="21">
        <v>1</v>
      </c>
      <c r="H110" s="18">
        <v>0</v>
      </c>
      <c r="I110" s="18">
        <v>0</v>
      </c>
      <c r="J110" s="18">
        <v>0</v>
      </c>
      <c r="K110" s="22">
        <v>3</v>
      </c>
      <c r="L110" s="22">
        <v>2</v>
      </c>
      <c r="M110" s="22">
        <v>-1</v>
      </c>
      <c r="N110" s="22">
        <v>1</v>
      </c>
      <c r="O110" s="22">
        <v>0</v>
      </c>
      <c r="P110" s="22">
        <v>27.358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399405</v>
      </c>
      <c r="B111" s="21" t="s">
        <v>444</v>
      </c>
      <c r="C111" s="21">
        <v>2929.509</v>
      </c>
      <c r="D111" s="21">
        <v>3455.484</v>
      </c>
      <c r="E111" s="21">
        <v>0</v>
      </c>
      <c r="F111" s="21">
        <v>0</v>
      </c>
      <c r="G111" s="21">
        <v>1</v>
      </c>
      <c r="H111" s="18">
        <v>0</v>
      </c>
      <c r="I111" s="18">
        <v>0</v>
      </c>
      <c r="J111" s="18">
        <v>0</v>
      </c>
      <c r="K111" s="22">
        <v>3</v>
      </c>
      <c r="L111" s="22">
        <v>0</v>
      </c>
      <c r="M111" s="22">
        <v>0</v>
      </c>
      <c r="N111" s="22">
        <v>0</v>
      </c>
      <c r="O111" s="22">
        <v>0</v>
      </c>
      <c r="P111" s="22">
        <v>3.329</v>
      </c>
      <c r="Q111" s="22">
        <v>0</v>
      </c>
      <c r="R111" s="22">
        <v>1</v>
      </c>
      <c r="S111" s="23"/>
      <c r="T111" s="23"/>
      <c r="U111" s="23"/>
      <c r="V111" s="23"/>
      <c r="W111" s="23"/>
    </row>
    <row r="112" ht="16.5" spans="1:23">
      <c r="A112" s="21">
        <v>399418</v>
      </c>
      <c r="B112" s="21" t="s">
        <v>445</v>
      </c>
      <c r="C112" s="21">
        <v>3904.47</v>
      </c>
      <c r="D112" s="21">
        <v>4931.884</v>
      </c>
      <c r="E112" s="21">
        <v>0</v>
      </c>
      <c r="F112" s="21">
        <v>0</v>
      </c>
      <c r="G112" s="21">
        <v>1</v>
      </c>
      <c r="H112" s="18">
        <v>0</v>
      </c>
      <c r="I112" s="18">
        <v>0</v>
      </c>
      <c r="J112" s="18">
        <v>0</v>
      </c>
      <c r="K112" s="22">
        <v>1</v>
      </c>
      <c r="L112" s="22">
        <v>1</v>
      </c>
      <c r="M112" s="22">
        <v>0</v>
      </c>
      <c r="N112" s="22">
        <v>0</v>
      </c>
      <c r="O112" s="22">
        <v>0</v>
      </c>
      <c r="P112" s="22">
        <v>-1.906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399420</v>
      </c>
      <c r="B113" s="21" t="s">
        <v>446</v>
      </c>
      <c r="C113" s="21">
        <v>1432.787</v>
      </c>
      <c r="D113" s="21">
        <v>1696.94</v>
      </c>
      <c r="E113" s="21">
        <v>0</v>
      </c>
      <c r="F113" s="21">
        <v>0</v>
      </c>
      <c r="G113" s="21">
        <v>1</v>
      </c>
      <c r="H113" s="18">
        <v>0</v>
      </c>
      <c r="I113" s="18">
        <v>0</v>
      </c>
      <c r="J113" s="18">
        <v>0</v>
      </c>
      <c r="K113" s="22">
        <v>3</v>
      </c>
      <c r="L113" s="22">
        <v>1</v>
      </c>
      <c r="M113" s="22">
        <v>0</v>
      </c>
      <c r="N113" s="22">
        <v>0</v>
      </c>
      <c r="O113" s="22">
        <v>0</v>
      </c>
      <c r="P113" s="22">
        <v>4.956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399423</v>
      </c>
      <c r="B114" s="21" t="s">
        <v>447</v>
      </c>
      <c r="C114" s="21">
        <v>2812.784</v>
      </c>
      <c r="D114" s="21">
        <v>3472.949</v>
      </c>
      <c r="E114" s="21">
        <v>0</v>
      </c>
      <c r="F114" s="21">
        <v>0</v>
      </c>
      <c r="G114" s="21">
        <v>1</v>
      </c>
      <c r="H114" s="18">
        <v>0</v>
      </c>
      <c r="I114" s="18">
        <v>0</v>
      </c>
      <c r="J114" s="18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4.701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399437</v>
      </c>
      <c r="B115" s="21" t="s">
        <v>448</v>
      </c>
      <c r="C115" s="21">
        <v>6257.157</v>
      </c>
      <c r="D115" s="21">
        <v>7249.325</v>
      </c>
      <c r="E115" s="21">
        <v>0</v>
      </c>
      <c r="F115" s="21">
        <v>0</v>
      </c>
      <c r="G115" s="21">
        <v>1</v>
      </c>
      <c r="H115" s="18">
        <v>0</v>
      </c>
      <c r="I115" s="18">
        <v>0</v>
      </c>
      <c r="J115" s="18">
        <v>0</v>
      </c>
      <c r="K115" s="22">
        <v>2</v>
      </c>
      <c r="L115" s="22">
        <v>0</v>
      </c>
      <c r="M115" s="22">
        <v>0</v>
      </c>
      <c r="N115" s="22">
        <v>0</v>
      </c>
      <c r="O115" s="22">
        <v>0</v>
      </c>
      <c r="P115" s="22">
        <v>2.498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399555</v>
      </c>
      <c r="B116" s="21" t="s">
        <v>449</v>
      </c>
      <c r="C116" s="21">
        <v>5173.432</v>
      </c>
      <c r="D116" s="21">
        <v>5537.082</v>
      </c>
      <c r="E116" s="21">
        <v>0</v>
      </c>
      <c r="F116" s="21">
        <v>0</v>
      </c>
      <c r="G116" s="21">
        <v>1</v>
      </c>
      <c r="H116" s="18">
        <v>0</v>
      </c>
      <c r="I116" s="18">
        <v>0</v>
      </c>
      <c r="J116" s="18">
        <v>0</v>
      </c>
      <c r="K116" s="22">
        <v>3</v>
      </c>
      <c r="L116" s="22">
        <v>0</v>
      </c>
      <c r="M116" s="22">
        <v>0</v>
      </c>
      <c r="N116" s="22">
        <v>0</v>
      </c>
      <c r="O116" s="22">
        <v>0</v>
      </c>
      <c r="P116" s="22">
        <v>0.72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399617</v>
      </c>
      <c r="B117" s="21" t="s">
        <v>450</v>
      </c>
      <c r="C117" s="21">
        <v>8732.282</v>
      </c>
      <c r="D117" s="21">
        <v>9788.388</v>
      </c>
      <c r="E117" s="21">
        <v>0</v>
      </c>
      <c r="F117" s="21">
        <v>0</v>
      </c>
      <c r="G117" s="21">
        <v>1</v>
      </c>
      <c r="H117" s="18">
        <v>0</v>
      </c>
      <c r="I117" s="18">
        <v>0</v>
      </c>
      <c r="J117" s="18">
        <v>0</v>
      </c>
      <c r="K117" s="22">
        <v>3</v>
      </c>
      <c r="L117" s="22">
        <v>0</v>
      </c>
      <c r="M117" s="22">
        <v>0</v>
      </c>
      <c r="N117" s="22">
        <v>0</v>
      </c>
      <c r="O117" s="22">
        <v>0</v>
      </c>
      <c r="P117" s="22">
        <v>-6.518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399619</v>
      </c>
      <c r="B118" s="21" t="s">
        <v>451</v>
      </c>
      <c r="C118" s="21">
        <v>6871.747</v>
      </c>
      <c r="D118" s="21">
        <v>7547.561</v>
      </c>
      <c r="E118" s="21">
        <v>0</v>
      </c>
      <c r="F118" s="21">
        <v>0</v>
      </c>
      <c r="G118" s="21">
        <v>1</v>
      </c>
      <c r="H118" s="18">
        <v>0</v>
      </c>
      <c r="I118" s="18">
        <v>0</v>
      </c>
      <c r="J118" s="18">
        <v>0</v>
      </c>
      <c r="K118" s="22">
        <v>3</v>
      </c>
      <c r="L118" s="22">
        <v>2</v>
      </c>
      <c r="M118" s="22">
        <v>0</v>
      </c>
      <c r="N118" s="22">
        <v>0</v>
      </c>
      <c r="O118" s="22">
        <v>0</v>
      </c>
      <c r="P118" s="22">
        <v>5.187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399637</v>
      </c>
      <c r="B119" s="21" t="s">
        <v>452</v>
      </c>
      <c r="C119" s="21">
        <v>1675.456</v>
      </c>
      <c r="D119" s="21">
        <v>1984.886</v>
      </c>
      <c r="E119" s="21">
        <v>0</v>
      </c>
      <c r="F119" s="21">
        <v>0</v>
      </c>
      <c r="G119" s="21">
        <v>1</v>
      </c>
      <c r="H119" s="18">
        <v>0</v>
      </c>
      <c r="I119" s="18">
        <v>0</v>
      </c>
      <c r="J119" s="18">
        <v>0</v>
      </c>
      <c r="K119" s="22">
        <v>2</v>
      </c>
      <c r="L119" s="22">
        <v>0</v>
      </c>
      <c r="M119" s="22">
        <v>0</v>
      </c>
      <c r="N119" s="22">
        <v>0</v>
      </c>
      <c r="O119" s="22">
        <v>0</v>
      </c>
      <c r="P119" s="22">
        <v>0.977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399646</v>
      </c>
      <c r="B120" s="21" t="s">
        <v>453</v>
      </c>
      <c r="C120" s="21">
        <v>7722.206</v>
      </c>
      <c r="D120" s="21">
        <v>8513.084</v>
      </c>
      <c r="E120" s="21">
        <v>0</v>
      </c>
      <c r="F120" s="21">
        <v>0</v>
      </c>
      <c r="G120" s="21">
        <v>1</v>
      </c>
      <c r="H120" s="18">
        <v>0</v>
      </c>
      <c r="I120" s="18">
        <v>0</v>
      </c>
      <c r="J120" s="18">
        <v>0</v>
      </c>
      <c r="K120" s="22">
        <v>2</v>
      </c>
      <c r="L120" s="22">
        <v>0</v>
      </c>
      <c r="M120" s="22">
        <v>0</v>
      </c>
      <c r="N120" s="22">
        <v>0</v>
      </c>
      <c r="O120" s="22">
        <v>0</v>
      </c>
      <c r="P120" s="22">
        <v>1.451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399684</v>
      </c>
      <c r="B121" s="21" t="s">
        <v>454</v>
      </c>
      <c r="C121" s="21">
        <v>1704.478</v>
      </c>
      <c r="D121" s="21">
        <v>1906.235</v>
      </c>
      <c r="E121" s="21">
        <v>0</v>
      </c>
      <c r="F121" s="21">
        <v>0</v>
      </c>
      <c r="G121" s="21">
        <v>1</v>
      </c>
      <c r="H121" s="18">
        <v>0</v>
      </c>
      <c r="I121" s="18">
        <v>0</v>
      </c>
      <c r="J121" s="18">
        <v>0</v>
      </c>
      <c r="K121" s="22">
        <v>4</v>
      </c>
      <c r="L121" s="22">
        <v>1</v>
      </c>
      <c r="M121" s="22">
        <v>-1</v>
      </c>
      <c r="N121" s="22">
        <v>1</v>
      </c>
      <c r="O121" s="22">
        <v>0</v>
      </c>
      <c r="P121" s="22">
        <v>0.34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399686</v>
      </c>
      <c r="B122" s="21" t="s">
        <v>455</v>
      </c>
      <c r="C122" s="21">
        <v>2051.154</v>
      </c>
      <c r="D122" s="21">
        <v>2287.931</v>
      </c>
      <c r="E122" s="21">
        <v>0</v>
      </c>
      <c r="F122" s="21">
        <v>0</v>
      </c>
      <c r="G122" s="21">
        <v>1</v>
      </c>
      <c r="H122" s="18">
        <v>0</v>
      </c>
      <c r="I122" s="18">
        <v>0</v>
      </c>
      <c r="J122" s="18">
        <v>0</v>
      </c>
      <c r="K122" s="22">
        <v>1</v>
      </c>
      <c r="L122" s="22">
        <v>2</v>
      </c>
      <c r="M122" s="22">
        <v>0</v>
      </c>
      <c r="N122" s="22">
        <v>0</v>
      </c>
      <c r="O122" s="22">
        <v>0</v>
      </c>
      <c r="P122" s="22">
        <v>-2.904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399693</v>
      </c>
      <c r="B123" s="21" t="s">
        <v>456</v>
      </c>
      <c r="C123" s="21">
        <v>4705.822</v>
      </c>
      <c r="D123" s="21">
        <v>6217.19</v>
      </c>
      <c r="E123" s="21">
        <v>0</v>
      </c>
      <c r="F123" s="21">
        <v>0</v>
      </c>
      <c r="G123" s="21">
        <v>1</v>
      </c>
      <c r="H123" s="18">
        <v>0</v>
      </c>
      <c r="I123" s="18">
        <v>0</v>
      </c>
      <c r="J123" s="18">
        <v>0</v>
      </c>
      <c r="K123" s="22">
        <v>4</v>
      </c>
      <c r="L123" s="22">
        <v>1</v>
      </c>
      <c r="M123" s="22">
        <v>0</v>
      </c>
      <c r="N123" s="22">
        <v>0</v>
      </c>
      <c r="O123" s="22">
        <v>0</v>
      </c>
      <c r="P123" s="22">
        <v>-0.001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399699</v>
      </c>
      <c r="B124" s="21" t="s">
        <v>457</v>
      </c>
      <c r="C124" s="21">
        <v>4068.057</v>
      </c>
      <c r="D124" s="21">
        <v>5108.825</v>
      </c>
      <c r="E124" s="21">
        <v>0</v>
      </c>
      <c r="F124" s="21">
        <v>0</v>
      </c>
      <c r="G124" s="21">
        <v>1</v>
      </c>
      <c r="H124" s="18">
        <v>0</v>
      </c>
      <c r="I124" s="18">
        <v>0</v>
      </c>
      <c r="J124" s="18">
        <v>0</v>
      </c>
      <c r="K124" s="22">
        <v>2</v>
      </c>
      <c r="L124" s="22">
        <v>1</v>
      </c>
      <c r="M124" s="22">
        <v>0</v>
      </c>
      <c r="N124" s="22">
        <v>0</v>
      </c>
      <c r="O124" s="22">
        <v>0</v>
      </c>
      <c r="P124" s="22">
        <v>-10.474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399701</v>
      </c>
      <c r="B125" s="21" t="s">
        <v>458</v>
      </c>
      <c r="C125" s="21">
        <v>7767.255</v>
      </c>
      <c r="D125" s="21">
        <v>8320.453</v>
      </c>
      <c r="E125" s="21">
        <v>0</v>
      </c>
      <c r="F125" s="21">
        <v>0</v>
      </c>
      <c r="G125" s="21">
        <v>1</v>
      </c>
      <c r="H125" s="18">
        <v>0</v>
      </c>
      <c r="I125" s="18">
        <v>0</v>
      </c>
      <c r="J125" s="18">
        <v>0</v>
      </c>
      <c r="K125" s="22">
        <v>4</v>
      </c>
      <c r="L125" s="22">
        <v>0</v>
      </c>
      <c r="M125" s="22">
        <v>0</v>
      </c>
      <c r="N125" s="22">
        <v>0</v>
      </c>
      <c r="O125" s="22">
        <v>0</v>
      </c>
      <c r="P125" s="22">
        <v>1.287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399707</v>
      </c>
      <c r="B126" s="21" t="s">
        <v>459</v>
      </c>
      <c r="C126" s="21">
        <v>6062.185</v>
      </c>
      <c r="D126" s="21">
        <v>6954.74</v>
      </c>
      <c r="E126" s="21">
        <v>0</v>
      </c>
      <c r="F126" s="21">
        <v>0</v>
      </c>
      <c r="G126" s="21">
        <v>1</v>
      </c>
      <c r="H126" s="18">
        <v>0</v>
      </c>
      <c r="I126" s="18">
        <v>0</v>
      </c>
      <c r="J126" s="18">
        <v>0</v>
      </c>
      <c r="K126" s="22">
        <v>1</v>
      </c>
      <c r="L126" s="22">
        <v>2</v>
      </c>
      <c r="M126" s="22">
        <v>0</v>
      </c>
      <c r="N126" s="22">
        <v>0</v>
      </c>
      <c r="O126" s="22">
        <v>0</v>
      </c>
      <c r="P126" s="22">
        <v>0.013</v>
      </c>
      <c r="Q126" s="22">
        <v>0</v>
      </c>
      <c r="R126" s="22">
        <v>1</v>
      </c>
      <c r="S126" s="23"/>
      <c r="T126" s="23"/>
      <c r="U126" s="23"/>
      <c r="V126" s="23"/>
      <c r="W126" s="23"/>
    </row>
    <row r="127" ht="16.5" spans="1:23">
      <c r="A127" s="21">
        <v>399805</v>
      </c>
      <c r="B127" s="21" t="s">
        <v>33</v>
      </c>
      <c r="C127" s="21">
        <v>3504.658</v>
      </c>
      <c r="D127" s="21">
        <v>4396.646</v>
      </c>
      <c r="E127" s="21">
        <v>0</v>
      </c>
      <c r="F127" s="21">
        <v>0</v>
      </c>
      <c r="G127" s="21">
        <v>1</v>
      </c>
      <c r="H127" s="18">
        <v>0</v>
      </c>
      <c r="I127" s="18">
        <v>0</v>
      </c>
      <c r="J127" s="18">
        <v>0</v>
      </c>
      <c r="K127" s="22">
        <v>2</v>
      </c>
      <c r="L127" s="22">
        <v>0</v>
      </c>
      <c r="M127" s="22">
        <v>0</v>
      </c>
      <c r="N127" s="22">
        <v>0</v>
      </c>
      <c r="O127" s="22">
        <v>0</v>
      </c>
      <c r="P127" s="22">
        <v>-2.38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399809</v>
      </c>
      <c r="B128" s="21" t="s">
        <v>460</v>
      </c>
      <c r="C128" s="21">
        <v>2389.833</v>
      </c>
      <c r="D128" s="21">
        <v>2939.19</v>
      </c>
      <c r="E128" s="21">
        <v>0</v>
      </c>
      <c r="F128" s="21">
        <v>0</v>
      </c>
      <c r="G128" s="21">
        <v>1</v>
      </c>
      <c r="H128" s="18">
        <v>0</v>
      </c>
      <c r="I128" s="18">
        <v>0</v>
      </c>
      <c r="J128" s="18">
        <v>0</v>
      </c>
      <c r="K128" s="22">
        <v>2</v>
      </c>
      <c r="L128" s="22">
        <v>0</v>
      </c>
      <c r="M128" s="22">
        <v>0</v>
      </c>
      <c r="N128" s="22">
        <v>0</v>
      </c>
      <c r="O128" s="22">
        <v>0</v>
      </c>
      <c r="P128" s="22">
        <v>-0.193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399812</v>
      </c>
      <c r="B129" s="21" t="s">
        <v>461</v>
      </c>
      <c r="C129" s="21">
        <v>6118.083</v>
      </c>
      <c r="D129" s="21">
        <v>6750.756</v>
      </c>
      <c r="E129" s="21">
        <v>0</v>
      </c>
      <c r="F129" s="21">
        <v>0</v>
      </c>
      <c r="G129" s="21">
        <v>1</v>
      </c>
      <c r="H129" s="18">
        <v>0</v>
      </c>
      <c r="I129" s="18">
        <v>0</v>
      </c>
      <c r="J129" s="18">
        <v>0</v>
      </c>
      <c r="K129" s="22">
        <v>3</v>
      </c>
      <c r="L129" s="22">
        <v>1</v>
      </c>
      <c r="M129" s="22">
        <v>0</v>
      </c>
      <c r="N129" s="22">
        <v>0</v>
      </c>
      <c r="O129" s="22">
        <v>0</v>
      </c>
      <c r="P129" s="22">
        <v>6.883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399914</v>
      </c>
      <c r="B130" s="21" t="s">
        <v>462</v>
      </c>
      <c r="C130" s="21">
        <v>6248.816</v>
      </c>
      <c r="D130" s="21">
        <v>6962.664</v>
      </c>
      <c r="E130" s="21">
        <v>0</v>
      </c>
      <c r="F130" s="21">
        <v>0</v>
      </c>
      <c r="G130" s="21">
        <v>1</v>
      </c>
      <c r="H130" s="18">
        <v>0</v>
      </c>
      <c r="I130" s="18">
        <v>0</v>
      </c>
      <c r="J130" s="18">
        <v>0</v>
      </c>
      <c r="K130" s="22">
        <v>2</v>
      </c>
      <c r="L130" s="22">
        <v>1</v>
      </c>
      <c r="M130" s="22">
        <v>0</v>
      </c>
      <c r="N130" s="22">
        <v>0</v>
      </c>
      <c r="O130" s="22">
        <v>0</v>
      </c>
      <c r="P130" s="22">
        <v>-4.123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399934</v>
      </c>
      <c r="B131" s="21" t="s">
        <v>414</v>
      </c>
      <c r="C131" s="21">
        <v>5867.635</v>
      </c>
      <c r="D131" s="21">
        <v>6499.468</v>
      </c>
      <c r="E131" s="21">
        <v>0</v>
      </c>
      <c r="F131" s="21">
        <v>0</v>
      </c>
      <c r="G131" s="21">
        <v>1</v>
      </c>
      <c r="H131" s="18">
        <v>0</v>
      </c>
      <c r="I131" s="18">
        <v>0</v>
      </c>
      <c r="J131" s="18">
        <v>0</v>
      </c>
      <c r="K131" s="22">
        <v>1</v>
      </c>
      <c r="L131" s="22">
        <v>2</v>
      </c>
      <c r="M131" s="22">
        <v>0</v>
      </c>
      <c r="N131" s="22">
        <v>1</v>
      </c>
      <c r="O131" s="22">
        <v>0</v>
      </c>
      <c r="P131" s="22">
        <v>14.805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399965</v>
      </c>
      <c r="B132" s="21" t="s">
        <v>463</v>
      </c>
      <c r="C132" s="21">
        <v>2518.859</v>
      </c>
      <c r="D132" s="21">
        <v>2924.202</v>
      </c>
      <c r="E132" s="21">
        <v>0</v>
      </c>
      <c r="F132" s="21">
        <v>0</v>
      </c>
      <c r="G132" s="21">
        <v>1</v>
      </c>
      <c r="H132" s="18">
        <v>0</v>
      </c>
      <c r="I132" s="18">
        <v>0</v>
      </c>
      <c r="J132" s="18">
        <v>0</v>
      </c>
      <c r="K132" s="22">
        <v>2</v>
      </c>
      <c r="L132" s="22">
        <v>1</v>
      </c>
      <c r="M132" s="22">
        <v>0</v>
      </c>
      <c r="N132" s="22">
        <v>1</v>
      </c>
      <c r="O132" s="22">
        <v>0</v>
      </c>
      <c r="P132" s="22">
        <v>8.147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399966</v>
      </c>
      <c r="B133" s="21" t="s">
        <v>464</v>
      </c>
      <c r="C133" s="21">
        <v>6025.07</v>
      </c>
      <c r="D133" s="21">
        <v>7097.194</v>
      </c>
      <c r="E133" s="21">
        <v>0</v>
      </c>
      <c r="F133" s="21">
        <v>0</v>
      </c>
      <c r="G133" s="21">
        <v>1</v>
      </c>
      <c r="H133" s="18">
        <v>0</v>
      </c>
      <c r="I133" s="18">
        <v>0</v>
      </c>
      <c r="J133" s="18">
        <v>0</v>
      </c>
      <c r="K133" s="22">
        <v>4</v>
      </c>
      <c r="L133" s="22">
        <v>1</v>
      </c>
      <c r="M133" s="22">
        <v>0</v>
      </c>
      <c r="N133" s="22">
        <v>0</v>
      </c>
      <c r="O133" s="22">
        <v>0</v>
      </c>
      <c r="P133" s="22">
        <v>-0.509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399970</v>
      </c>
      <c r="B134" s="21" t="s">
        <v>465</v>
      </c>
      <c r="C134" s="21">
        <v>4134.131</v>
      </c>
      <c r="D134" s="21">
        <v>5178.188</v>
      </c>
      <c r="E134" s="21">
        <v>0</v>
      </c>
      <c r="F134" s="21">
        <v>0</v>
      </c>
      <c r="G134" s="21">
        <v>1</v>
      </c>
      <c r="H134" s="18">
        <v>0</v>
      </c>
      <c r="I134" s="18">
        <v>0</v>
      </c>
      <c r="J134" s="18">
        <v>0</v>
      </c>
      <c r="K134" s="22">
        <v>3</v>
      </c>
      <c r="L134" s="22">
        <v>0</v>
      </c>
      <c r="M134" s="22">
        <v>0</v>
      </c>
      <c r="N134" s="22">
        <v>0</v>
      </c>
      <c r="O134" s="22">
        <v>0</v>
      </c>
      <c r="P134" s="22">
        <v>11.436</v>
      </c>
      <c r="Q134" s="22">
        <v>0</v>
      </c>
      <c r="R134" s="22">
        <v>1</v>
      </c>
      <c r="S134" s="23"/>
      <c r="T134" s="23"/>
      <c r="U134" s="23"/>
      <c r="V134" s="23"/>
      <c r="W134" s="23"/>
    </row>
    <row r="135" ht="16.5" spans="1:23">
      <c r="A135" s="21">
        <v>399975</v>
      </c>
      <c r="B135" s="21" t="s">
        <v>466</v>
      </c>
      <c r="C135" s="21">
        <v>789.886</v>
      </c>
      <c r="D135" s="21">
        <v>906.344</v>
      </c>
      <c r="E135" s="21">
        <v>0</v>
      </c>
      <c r="F135" s="21">
        <v>0</v>
      </c>
      <c r="G135" s="21">
        <v>1</v>
      </c>
      <c r="H135" s="18">
        <v>0</v>
      </c>
      <c r="I135" s="18">
        <v>0</v>
      </c>
      <c r="J135" s="18">
        <v>0</v>
      </c>
      <c r="K135" s="22">
        <v>3</v>
      </c>
      <c r="L135" s="22">
        <v>1</v>
      </c>
      <c r="M135" s="22">
        <v>0</v>
      </c>
      <c r="N135" s="22">
        <v>0</v>
      </c>
      <c r="O135" s="22">
        <v>0</v>
      </c>
      <c r="P135" s="22">
        <v>0.308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399983</v>
      </c>
      <c r="B136" s="21" t="s">
        <v>467</v>
      </c>
      <c r="C136" s="21">
        <v>1927.271</v>
      </c>
      <c r="D136" s="21">
        <v>2296.592</v>
      </c>
      <c r="E136" s="21">
        <v>0</v>
      </c>
      <c r="F136" s="21">
        <v>0</v>
      </c>
      <c r="G136" s="21">
        <v>1</v>
      </c>
      <c r="H136" s="18">
        <v>0</v>
      </c>
      <c r="I136" s="18">
        <v>0</v>
      </c>
      <c r="J136" s="18">
        <v>0</v>
      </c>
      <c r="K136" s="22">
        <v>4</v>
      </c>
      <c r="L136" s="22">
        <v>0</v>
      </c>
      <c r="M136" s="22">
        <v>0</v>
      </c>
      <c r="N136" s="22">
        <v>0</v>
      </c>
      <c r="O136" s="22">
        <v>0</v>
      </c>
      <c r="P136" s="22">
        <v>2.185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399987</v>
      </c>
      <c r="B137" s="21" t="s">
        <v>468</v>
      </c>
      <c r="C137" s="21">
        <v>4746.811</v>
      </c>
      <c r="D137" s="21">
        <v>5526.643</v>
      </c>
      <c r="E137" s="21">
        <v>0</v>
      </c>
      <c r="F137" s="21">
        <v>0</v>
      </c>
      <c r="G137" s="21">
        <v>1</v>
      </c>
      <c r="H137" s="18">
        <v>0</v>
      </c>
      <c r="I137" s="18">
        <v>0</v>
      </c>
      <c r="J137" s="18">
        <v>0</v>
      </c>
      <c r="K137" s="22">
        <v>3</v>
      </c>
      <c r="L137" s="22">
        <v>0</v>
      </c>
      <c r="M137" s="22">
        <v>0</v>
      </c>
      <c r="N137" s="22">
        <v>0</v>
      </c>
      <c r="O137" s="22">
        <v>0</v>
      </c>
      <c r="P137" s="22">
        <v>4.435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399994</v>
      </c>
      <c r="B138" s="21" t="s">
        <v>194</v>
      </c>
      <c r="C138" s="21">
        <v>1711.963</v>
      </c>
      <c r="D138" s="21">
        <v>2100.622</v>
      </c>
      <c r="E138" s="21">
        <v>0</v>
      </c>
      <c r="F138" s="21">
        <v>0</v>
      </c>
      <c r="G138" s="21">
        <v>1</v>
      </c>
      <c r="H138" s="18">
        <v>0</v>
      </c>
      <c r="I138" s="18">
        <v>0</v>
      </c>
      <c r="J138" s="18">
        <v>0</v>
      </c>
      <c r="K138" s="22">
        <v>1</v>
      </c>
      <c r="L138" s="22">
        <v>1</v>
      </c>
      <c r="M138" s="22">
        <v>0</v>
      </c>
      <c r="N138" s="22">
        <v>0</v>
      </c>
      <c r="O138" s="22">
        <v>0</v>
      </c>
      <c r="P138" s="22">
        <v>0.051</v>
      </c>
      <c r="Q138" s="22">
        <v>0</v>
      </c>
      <c r="R138" s="22">
        <v>1</v>
      </c>
      <c r="S138" s="23"/>
      <c r="T138" s="23"/>
      <c r="U138" s="23"/>
      <c r="V138" s="23"/>
      <c r="W138" s="23"/>
    </row>
    <row r="139" ht="16.5" spans="1:23">
      <c r="A139" s="21">
        <v>399997</v>
      </c>
      <c r="B139" s="21" t="s">
        <v>469</v>
      </c>
      <c r="C139" s="21">
        <v>8200.984</v>
      </c>
      <c r="D139" s="21">
        <v>9727.931</v>
      </c>
      <c r="E139" s="21">
        <v>0</v>
      </c>
      <c r="F139" s="21">
        <v>0</v>
      </c>
      <c r="G139" s="21">
        <v>1</v>
      </c>
      <c r="H139" s="18">
        <v>0</v>
      </c>
      <c r="I139" s="18">
        <v>0</v>
      </c>
      <c r="J139" s="18">
        <v>0</v>
      </c>
      <c r="K139" s="22">
        <v>3</v>
      </c>
      <c r="L139" s="22">
        <v>0</v>
      </c>
      <c r="M139" s="22">
        <v>0</v>
      </c>
      <c r="N139" s="22">
        <v>-1</v>
      </c>
      <c r="O139" s="22">
        <v>0</v>
      </c>
      <c r="P139" s="22">
        <v>-5.103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980001</v>
      </c>
      <c r="B140" s="21" t="s">
        <v>470</v>
      </c>
      <c r="C140" s="21">
        <v>1439.407</v>
      </c>
      <c r="D140" s="21">
        <v>1584.89</v>
      </c>
      <c r="E140" s="21">
        <v>0</v>
      </c>
      <c r="F140" s="21">
        <v>0</v>
      </c>
      <c r="G140" s="21">
        <v>1</v>
      </c>
      <c r="H140" s="18">
        <v>0</v>
      </c>
      <c r="I140" s="18">
        <v>0</v>
      </c>
      <c r="J140" s="18">
        <v>0</v>
      </c>
      <c r="K140" s="22">
        <v>2</v>
      </c>
      <c r="L140" s="22">
        <v>0</v>
      </c>
      <c r="M140" s="22">
        <v>0</v>
      </c>
      <c r="N140" s="22">
        <v>0</v>
      </c>
      <c r="O140" s="22">
        <v>0</v>
      </c>
      <c r="P140" s="22">
        <v>-0.041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980022</v>
      </c>
      <c r="B141" s="21" t="s">
        <v>471</v>
      </c>
      <c r="C141" s="21">
        <v>2295.861</v>
      </c>
      <c r="D141" s="21">
        <v>2879.646</v>
      </c>
      <c r="E141" s="21">
        <v>0</v>
      </c>
      <c r="F141" s="21">
        <v>0</v>
      </c>
      <c r="G141" s="21">
        <v>1</v>
      </c>
      <c r="H141" s="18">
        <v>0</v>
      </c>
      <c r="I141" s="18">
        <v>0</v>
      </c>
      <c r="J141" s="18">
        <v>0</v>
      </c>
      <c r="K141" s="22">
        <v>3</v>
      </c>
      <c r="L141" s="22">
        <v>1</v>
      </c>
      <c r="M141" s="22">
        <v>0</v>
      </c>
      <c r="N141" s="22">
        <v>0</v>
      </c>
      <c r="O141" s="22">
        <v>0</v>
      </c>
      <c r="P141" s="22">
        <v>2.999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980023</v>
      </c>
      <c r="B142" s="21" t="s">
        <v>472</v>
      </c>
      <c r="C142" s="21">
        <v>2290.753</v>
      </c>
      <c r="D142" s="21">
        <v>2641.148</v>
      </c>
      <c r="E142" s="21">
        <v>0</v>
      </c>
      <c r="F142" s="21">
        <v>0</v>
      </c>
      <c r="G142" s="21">
        <v>1</v>
      </c>
      <c r="H142" s="18">
        <v>0</v>
      </c>
      <c r="I142" s="18">
        <v>0</v>
      </c>
      <c r="J142" s="18">
        <v>0</v>
      </c>
      <c r="K142" s="22">
        <v>2</v>
      </c>
      <c r="L142" s="22">
        <v>1</v>
      </c>
      <c r="M142" s="22">
        <v>0</v>
      </c>
      <c r="N142" s="22">
        <v>0</v>
      </c>
      <c r="O142" s="22">
        <v>0</v>
      </c>
      <c r="P142" s="22">
        <v>-0.358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980028</v>
      </c>
      <c r="B143" s="21" t="s">
        <v>473</v>
      </c>
      <c r="C143" s="21">
        <v>11915.164</v>
      </c>
      <c r="D143" s="21">
        <v>12978.204</v>
      </c>
      <c r="E143" s="21">
        <v>0</v>
      </c>
      <c r="F143" s="21">
        <v>0</v>
      </c>
      <c r="G143" s="21">
        <v>1</v>
      </c>
      <c r="H143" s="18">
        <v>0</v>
      </c>
      <c r="I143" s="18">
        <v>0</v>
      </c>
      <c r="J143" s="18">
        <v>0</v>
      </c>
      <c r="K143" s="22">
        <v>1</v>
      </c>
      <c r="L143" s="22">
        <v>1</v>
      </c>
      <c r="M143" s="22">
        <v>0</v>
      </c>
      <c r="N143" s="22">
        <v>0</v>
      </c>
      <c r="O143" s="22">
        <v>0</v>
      </c>
      <c r="P143" s="22">
        <v>-0.736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988201</v>
      </c>
      <c r="B144" s="21" t="s">
        <v>474</v>
      </c>
      <c r="C144" s="21">
        <v>1768.03</v>
      </c>
      <c r="D144" s="21">
        <v>1943.837</v>
      </c>
      <c r="E144" s="21">
        <v>0</v>
      </c>
      <c r="F144" s="21">
        <v>0</v>
      </c>
      <c r="G144" s="21">
        <v>1</v>
      </c>
      <c r="H144" s="18">
        <v>0</v>
      </c>
      <c r="I144" s="18">
        <v>0</v>
      </c>
      <c r="J144" s="18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-0.582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4"/>
      <c r="B145" s="24"/>
      <c r="C145" s="24"/>
      <c r="D145" s="24"/>
      <c r="E145" s="24"/>
      <c r="F145" s="24"/>
      <c r="G145" s="24"/>
      <c r="H145" s="25"/>
      <c r="I145" s="25"/>
      <c r="J145" s="25"/>
      <c r="K145" s="27"/>
      <c r="L145" s="27"/>
      <c r="M145" s="27"/>
      <c r="N145" s="27"/>
      <c r="O145" s="27"/>
      <c r="P145" s="27"/>
      <c r="Q145" s="27"/>
      <c r="R145" s="27"/>
      <c r="S145" s="23"/>
      <c r="T145" s="23"/>
      <c r="U145" s="23"/>
      <c r="V145" s="23"/>
      <c r="W145" s="23"/>
    </row>
    <row r="146" ht="16.5" spans="1:23">
      <c r="A146" s="24"/>
      <c r="B146" s="24"/>
      <c r="C146" s="24"/>
      <c r="D146" s="24"/>
      <c r="E146" s="24"/>
      <c r="F146" s="24"/>
      <c r="G146" s="24"/>
      <c r="H146" s="25"/>
      <c r="I146" s="25"/>
      <c r="J146" s="25"/>
      <c r="K146" s="27"/>
      <c r="L146" s="27"/>
      <c r="M146" s="27"/>
      <c r="N146" s="27"/>
      <c r="O146" s="27"/>
      <c r="P146" s="27"/>
      <c r="Q146" s="27"/>
      <c r="R146" s="27"/>
      <c r="S146" s="23"/>
      <c r="T146" s="23"/>
      <c r="U146" s="23"/>
      <c r="V146" s="23"/>
      <c r="W146" s="23"/>
    </row>
    <row r="147" ht="16.5" spans="1:23">
      <c r="A147" s="24"/>
      <c r="B147" s="24"/>
      <c r="C147" s="24"/>
      <c r="D147" s="24"/>
      <c r="E147" s="24"/>
      <c r="F147" s="24"/>
      <c r="G147" s="24"/>
      <c r="H147" s="25"/>
      <c r="I147" s="25"/>
      <c r="J147" s="25"/>
      <c r="K147" s="27"/>
      <c r="L147" s="27"/>
      <c r="M147" s="27"/>
      <c r="N147" s="27"/>
      <c r="O147" s="27"/>
      <c r="P147" s="27"/>
      <c r="Q147" s="27"/>
      <c r="R147" s="27"/>
      <c r="S147" s="23"/>
      <c r="T147" s="23"/>
      <c r="U147" s="23"/>
      <c r="V147" s="23"/>
      <c r="W147" s="23"/>
    </row>
    <row r="148" ht="16.5" spans="1:23">
      <c r="A148" s="24"/>
      <c r="B148" s="24"/>
      <c r="C148" s="24"/>
      <c r="D148" s="24"/>
      <c r="E148" s="24"/>
      <c r="F148" s="24"/>
      <c r="G148" s="24"/>
      <c r="H148" s="25"/>
      <c r="I148" s="25"/>
      <c r="J148" s="25"/>
      <c r="K148" s="27"/>
      <c r="L148" s="27"/>
      <c r="M148" s="27"/>
      <c r="N148" s="27"/>
      <c r="O148" s="27"/>
      <c r="P148" s="27"/>
      <c r="Q148" s="27"/>
      <c r="R148" s="27"/>
      <c r="S148" s="23"/>
      <c r="T148" s="23"/>
      <c r="U148" s="23"/>
      <c r="V148" s="23"/>
      <c r="W148" s="23"/>
    </row>
    <row r="149" ht="16.5" spans="1:23">
      <c r="A149" s="24"/>
      <c r="B149" s="24"/>
      <c r="C149" s="24"/>
      <c r="D149" s="24"/>
      <c r="E149" s="24"/>
      <c r="F149" s="24"/>
      <c r="G149" s="24"/>
      <c r="H149" s="25"/>
      <c r="I149" s="25"/>
      <c r="J149" s="25"/>
      <c r="K149" s="27"/>
      <c r="L149" s="27"/>
      <c r="M149" s="27"/>
      <c r="N149" s="27"/>
      <c r="O149" s="27"/>
      <c r="P149" s="27"/>
      <c r="Q149" s="27"/>
      <c r="R149" s="27"/>
      <c r="S149" s="23"/>
      <c r="T149" s="23"/>
      <c r="U149" s="23"/>
      <c r="V149" s="23"/>
      <c r="W149" s="23"/>
    </row>
    <row r="150" ht="16.5" spans="1:23">
      <c r="A150" s="24"/>
      <c r="B150" s="24"/>
      <c r="C150" s="24"/>
      <c r="D150" s="24"/>
      <c r="E150" s="24"/>
      <c r="F150" s="24"/>
      <c r="G150" s="24"/>
      <c r="H150" s="25"/>
      <c r="I150" s="25"/>
      <c r="J150" s="25"/>
      <c r="K150" s="27"/>
      <c r="L150" s="27"/>
      <c r="M150" s="27"/>
      <c r="N150" s="27"/>
      <c r="O150" s="27"/>
      <c r="P150" s="27"/>
      <c r="Q150" s="27"/>
      <c r="R150" s="27"/>
      <c r="S150" s="23"/>
      <c r="T150" s="23"/>
      <c r="U150" s="23"/>
      <c r="V150" s="23"/>
      <c r="W150" s="23"/>
    </row>
    <row r="151" ht="16.5" spans="1:23">
      <c r="A151" s="24"/>
      <c r="B151" s="24"/>
      <c r="C151" s="24"/>
      <c r="D151" s="24"/>
      <c r="E151" s="24"/>
      <c r="F151" s="24"/>
      <c r="G151" s="24"/>
      <c r="H151" s="25"/>
      <c r="I151" s="25"/>
      <c r="J151" s="25"/>
      <c r="K151" s="27"/>
      <c r="L151" s="27"/>
      <c r="M151" s="27"/>
      <c r="N151" s="27"/>
      <c r="O151" s="27"/>
      <c r="P151" s="27"/>
      <c r="Q151" s="27"/>
      <c r="R151" s="27"/>
      <c r="S151" s="23"/>
      <c r="T151" s="23"/>
      <c r="U151" s="23"/>
      <c r="V151" s="23"/>
      <c r="W151" s="23"/>
    </row>
    <row r="152" ht="16.5" spans="1:23">
      <c r="A152" s="24"/>
      <c r="B152" s="24"/>
      <c r="C152" s="24"/>
      <c r="D152" s="24"/>
      <c r="E152" s="24"/>
      <c r="F152" s="24"/>
      <c r="G152" s="24"/>
      <c r="H152" s="25"/>
      <c r="I152" s="25"/>
      <c r="J152" s="25"/>
      <c r="K152" s="27"/>
      <c r="L152" s="27"/>
      <c r="M152" s="27"/>
      <c r="N152" s="27"/>
      <c r="O152" s="27"/>
      <c r="P152" s="27"/>
      <c r="Q152" s="27"/>
      <c r="R152" s="27"/>
      <c r="S152" s="23"/>
      <c r="T152" s="23"/>
      <c r="U152" s="23"/>
      <c r="V152" s="23"/>
      <c r="W152" s="23"/>
    </row>
    <row r="153" ht="16.5" spans="1:23">
      <c r="A153" s="24"/>
      <c r="B153" s="24"/>
      <c r="C153" s="24"/>
      <c r="D153" s="24"/>
      <c r="E153" s="24"/>
      <c r="F153" s="24"/>
      <c r="G153" s="24"/>
      <c r="H153" s="25"/>
      <c r="I153" s="25"/>
      <c r="J153" s="25"/>
      <c r="K153" s="27"/>
      <c r="L153" s="27"/>
      <c r="M153" s="27"/>
      <c r="N153" s="27"/>
      <c r="O153" s="27"/>
      <c r="P153" s="27"/>
      <c r="Q153" s="27"/>
      <c r="R153" s="27"/>
      <c r="S153" s="23"/>
      <c r="T153" s="23"/>
      <c r="U153" s="23"/>
      <c r="V153" s="23"/>
      <c r="W153" s="23"/>
    </row>
    <row r="154" ht="16.5" spans="1:23">
      <c r="A154" s="24"/>
      <c r="B154" s="24"/>
      <c r="C154" s="24"/>
      <c r="D154" s="24"/>
      <c r="E154" s="24"/>
      <c r="F154" s="24"/>
      <c r="G154" s="24"/>
      <c r="H154" s="25"/>
      <c r="I154" s="25"/>
      <c r="J154" s="25"/>
      <c r="K154" s="27"/>
      <c r="L154" s="27"/>
      <c r="M154" s="27"/>
      <c r="N154" s="27"/>
      <c r="O154" s="27"/>
      <c r="P154" s="27"/>
      <c r="Q154" s="27"/>
      <c r="R154" s="27"/>
      <c r="S154" s="23"/>
      <c r="T154" s="23"/>
      <c r="U154" s="23"/>
      <c r="V154" s="23"/>
      <c r="W154" s="23"/>
    </row>
    <row r="155" ht="16.5" spans="1:23">
      <c r="A155" s="24"/>
      <c r="B155" s="24"/>
      <c r="C155" s="24"/>
      <c r="D155" s="24"/>
      <c r="E155" s="24"/>
      <c r="F155" s="24"/>
      <c r="G155" s="24"/>
      <c r="H155" s="25"/>
      <c r="I155" s="25"/>
      <c r="J155" s="25"/>
      <c r="K155" s="27"/>
      <c r="L155" s="27"/>
      <c r="M155" s="27"/>
      <c r="N155" s="27"/>
      <c r="O155" s="27"/>
      <c r="P155" s="27"/>
      <c r="Q155" s="27"/>
      <c r="R155" s="27"/>
      <c r="S155" s="23"/>
      <c r="T155" s="23"/>
      <c r="U155" s="23"/>
      <c r="V155" s="23"/>
      <c r="W155" s="23"/>
    </row>
    <row r="156" ht="16.5" spans="1:23">
      <c r="A156" s="24"/>
      <c r="B156" s="24"/>
      <c r="C156" s="24"/>
      <c r="D156" s="24"/>
      <c r="E156" s="24"/>
      <c r="F156" s="24"/>
      <c r="G156" s="24"/>
      <c r="H156" s="25"/>
      <c r="I156" s="25"/>
      <c r="J156" s="25"/>
      <c r="K156" s="27"/>
      <c r="L156" s="27"/>
      <c r="M156" s="27"/>
      <c r="N156" s="27"/>
      <c r="O156" s="27"/>
      <c r="P156" s="27"/>
      <c r="Q156" s="27"/>
      <c r="R156" s="27"/>
      <c r="S156" s="23"/>
      <c r="T156" s="23"/>
      <c r="U156" s="23"/>
      <c r="V156" s="23"/>
      <c r="W156" s="23"/>
    </row>
    <row r="157" ht="16.5" spans="1:23">
      <c r="A157" s="24"/>
      <c r="B157" s="24"/>
      <c r="C157" s="24"/>
      <c r="D157" s="24"/>
      <c r="E157" s="24"/>
      <c r="F157" s="24"/>
      <c r="G157" s="24"/>
      <c r="H157" s="25"/>
      <c r="I157" s="25"/>
      <c r="J157" s="25"/>
      <c r="K157" s="27"/>
      <c r="L157" s="27"/>
      <c r="M157" s="27"/>
      <c r="N157" s="27"/>
      <c r="O157" s="27"/>
      <c r="P157" s="27"/>
      <c r="Q157" s="27"/>
      <c r="R157" s="27"/>
      <c r="S157" s="23"/>
      <c r="T157" s="23"/>
      <c r="U157" s="23"/>
      <c r="V157" s="23"/>
      <c r="W157" s="23"/>
    </row>
    <row r="158" ht="16.5" spans="1:23">
      <c r="A158" s="24"/>
      <c r="B158" s="24"/>
      <c r="C158" s="24"/>
      <c r="D158" s="24"/>
      <c r="E158" s="24"/>
      <c r="F158" s="24"/>
      <c r="G158" s="24"/>
      <c r="H158" s="25"/>
      <c r="I158" s="25"/>
      <c r="J158" s="25"/>
      <c r="K158" s="27"/>
      <c r="L158" s="27"/>
      <c r="M158" s="27"/>
      <c r="N158" s="27"/>
      <c r="O158" s="27"/>
      <c r="P158" s="27"/>
      <c r="Q158" s="27"/>
      <c r="R158" s="27"/>
      <c r="S158" s="23"/>
      <c r="T158" s="23"/>
      <c r="U158" s="23"/>
      <c r="V158" s="23"/>
      <c r="W158" s="23"/>
    </row>
    <row r="159" ht="16.5" spans="1:23">
      <c r="A159" s="24"/>
      <c r="B159" s="24"/>
      <c r="C159" s="24"/>
      <c r="D159" s="24"/>
      <c r="E159" s="24"/>
      <c r="F159" s="24"/>
      <c r="G159" s="24"/>
      <c r="H159" s="25"/>
      <c r="I159" s="25"/>
      <c r="J159" s="25"/>
      <c r="K159" s="27"/>
      <c r="L159" s="27"/>
      <c r="M159" s="27"/>
      <c r="N159" s="27"/>
      <c r="O159" s="27"/>
      <c r="P159" s="27"/>
      <c r="Q159" s="27"/>
      <c r="R159" s="27"/>
      <c r="S159" s="23"/>
      <c r="T159" s="23"/>
      <c r="U159" s="23"/>
      <c r="V159" s="23"/>
      <c r="W159" s="23"/>
    </row>
    <row r="160" ht="16.5" spans="1:23">
      <c r="A160" s="24"/>
      <c r="B160" s="24"/>
      <c r="C160" s="24"/>
      <c r="D160" s="24"/>
      <c r="E160" s="24"/>
      <c r="F160" s="24"/>
      <c r="G160" s="24"/>
      <c r="H160" s="25"/>
      <c r="I160" s="25"/>
      <c r="J160" s="25"/>
      <c r="K160" s="27"/>
      <c r="L160" s="27"/>
      <c r="M160" s="27"/>
      <c r="N160" s="27"/>
      <c r="O160" s="27"/>
      <c r="P160" s="27"/>
      <c r="Q160" s="27"/>
      <c r="R160" s="27"/>
      <c r="S160" s="23"/>
      <c r="T160" s="23"/>
      <c r="U160" s="23"/>
      <c r="V160" s="23"/>
      <c r="W160" s="23"/>
    </row>
    <row r="161" ht="16.5" spans="1:23">
      <c r="A161" s="24"/>
      <c r="B161" s="24"/>
      <c r="C161" s="24"/>
      <c r="D161" s="24"/>
      <c r="E161" s="24"/>
      <c r="F161" s="24"/>
      <c r="G161" s="24"/>
      <c r="H161" s="25"/>
      <c r="I161" s="25"/>
      <c r="J161" s="25"/>
      <c r="K161" s="27"/>
      <c r="L161" s="27"/>
      <c r="M161" s="27"/>
      <c r="N161" s="27"/>
      <c r="O161" s="27"/>
      <c r="P161" s="27"/>
      <c r="Q161" s="27"/>
      <c r="R161" s="27"/>
      <c r="S161" s="23"/>
      <c r="T161" s="23"/>
      <c r="U161" s="23"/>
      <c r="V161" s="23"/>
      <c r="W161" s="23"/>
    </row>
    <row r="162" ht="16.5" spans="1:23">
      <c r="A162" s="24"/>
      <c r="B162" s="24"/>
      <c r="C162" s="24"/>
      <c r="D162" s="24"/>
      <c r="E162" s="24"/>
      <c r="F162" s="24"/>
      <c r="G162" s="24"/>
      <c r="H162" s="25"/>
      <c r="I162" s="25"/>
      <c r="J162" s="25"/>
      <c r="K162" s="27"/>
      <c r="L162" s="27"/>
      <c r="M162" s="27"/>
      <c r="N162" s="27"/>
      <c r="O162" s="27"/>
      <c r="P162" s="27"/>
      <c r="Q162" s="27"/>
      <c r="R162" s="27"/>
      <c r="S162" s="23"/>
      <c r="T162" s="23"/>
      <c r="U162" s="23"/>
      <c r="V162" s="23"/>
      <c r="W162" s="23"/>
    </row>
    <row r="163" ht="16.5" spans="1:23">
      <c r="A163" s="24"/>
      <c r="B163" s="24"/>
      <c r="C163" s="24"/>
      <c r="D163" s="24"/>
      <c r="E163" s="24"/>
      <c r="F163" s="24"/>
      <c r="G163" s="24"/>
      <c r="H163" s="25"/>
      <c r="I163" s="25"/>
      <c r="J163" s="25"/>
      <c r="K163" s="27"/>
      <c r="L163" s="27"/>
      <c r="M163" s="27"/>
      <c r="N163" s="27"/>
      <c r="O163" s="27"/>
      <c r="P163" s="27"/>
      <c r="Q163" s="27"/>
      <c r="R163" s="27"/>
      <c r="S163" s="23"/>
      <c r="T163" s="23"/>
      <c r="U163" s="23"/>
      <c r="V163" s="23"/>
      <c r="W163" s="23"/>
    </row>
    <row r="164" ht="16.5" spans="1:23">
      <c r="A164" s="24"/>
      <c r="B164" s="24"/>
      <c r="C164" s="24"/>
      <c r="D164" s="24"/>
      <c r="E164" s="24"/>
      <c r="F164" s="24"/>
      <c r="G164" s="24"/>
      <c r="H164" s="25"/>
      <c r="I164" s="25"/>
      <c r="J164" s="25"/>
      <c r="K164" s="27"/>
      <c r="L164" s="27"/>
      <c r="M164" s="27"/>
      <c r="N164" s="27"/>
      <c r="O164" s="27"/>
      <c r="P164" s="27"/>
      <c r="Q164" s="27"/>
      <c r="R164" s="27"/>
      <c r="S164" s="23"/>
      <c r="T164" s="23"/>
      <c r="U164" s="23"/>
      <c r="V164" s="23"/>
      <c r="W164" s="23"/>
    </row>
    <row r="165" ht="16.5" spans="1:23">
      <c r="A165" s="24"/>
      <c r="B165" s="24"/>
      <c r="C165" s="24"/>
      <c r="D165" s="24"/>
      <c r="E165" s="24"/>
      <c r="F165" s="24"/>
      <c r="G165" s="24"/>
      <c r="H165" s="25"/>
      <c r="I165" s="25"/>
      <c r="J165" s="25"/>
      <c r="K165" s="27"/>
      <c r="L165" s="27"/>
      <c r="M165" s="27"/>
      <c r="N165" s="27"/>
      <c r="O165" s="27"/>
      <c r="P165" s="27"/>
      <c r="Q165" s="27"/>
      <c r="R165" s="27"/>
      <c r="S165" s="23"/>
      <c r="T165" s="23"/>
      <c r="U165" s="23"/>
      <c r="V165" s="23"/>
      <c r="W165" s="23"/>
    </row>
    <row r="166" ht="16.5" spans="1:23">
      <c r="A166" s="24"/>
      <c r="B166" s="24"/>
      <c r="C166" s="24"/>
      <c r="D166" s="24"/>
      <c r="E166" s="24"/>
      <c r="F166" s="24"/>
      <c r="G166" s="24"/>
      <c r="H166" s="25"/>
      <c r="I166" s="25"/>
      <c r="J166" s="25"/>
      <c r="K166" s="27"/>
      <c r="L166" s="27"/>
      <c r="M166" s="27"/>
      <c r="N166" s="27"/>
      <c r="O166" s="27"/>
      <c r="P166" s="27"/>
      <c r="Q166" s="27"/>
      <c r="R166" s="27"/>
      <c r="S166" s="23"/>
      <c r="T166" s="23"/>
      <c r="U166" s="23"/>
      <c r="V166" s="23"/>
      <c r="W166" s="23"/>
    </row>
    <row r="167" ht="16.5" spans="1:23">
      <c r="A167" s="24"/>
      <c r="B167" s="24"/>
      <c r="C167" s="24"/>
      <c r="D167" s="24"/>
      <c r="E167" s="24"/>
      <c r="F167" s="24"/>
      <c r="G167" s="24"/>
      <c r="H167" s="25"/>
      <c r="I167" s="25"/>
      <c r="J167" s="25"/>
      <c r="K167" s="27"/>
      <c r="L167" s="27"/>
      <c r="M167" s="27"/>
      <c r="N167" s="27"/>
      <c r="O167" s="27"/>
      <c r="P167" s="27"/>
      <c r="Q167" s="27"/>
      <c r="R167" s="27"/>
      <c r="S167" s="23"/>
      <c r="T167" s="23"/>
      <c r="U167" s="23"/>
      <c r="V167" s="23"/>
      <c r="W167" s="23"/>
    </row>
    <row r="168" ht="16.5" spans="1:23">
      <c r="A168" s="24"/>
      <c r="B168" s="24"/>
      <c r="C168" s="24"/>
      <c r="D168" s="24"/>
      <c r="E168" s="24"/>
      <c r="F168" s="24"/>
      <c r="G168" s="24"/>
      <c r="H168" s="25"/>
      <c r="I168" s="25"/>
      <c r="J168" s="25"/>
      <c r="K168" s="27"/>
      <c r="L168" s="27"/>
      <c r="M168" s="27"/>
      <c r="N168" s="27"/>
      <c r="O168" s="27"/>
      <c r="P168" s="27"/>
      <c r="Q168" s="27"/>
      <c r="R168" s="27"/>
      <c r="S168" s="23"/>
      <c r="T168" s="23"/>
      <c r="U168" s="23"/>
      <c r="V168" s="23"/>
      <c r="W168" s="23"/>
    </row>
    <row r="169" ht="16.5" spans="1:23">
      <c r="A169" s="24"/>
      <c r="B169" s="24"/>
      <c r="C169" s="24"/>
      <c r="D169" s="24"/>
      <c r="E169" s="24"/>
      <c r="F169" s="24"/>
      <c r="G169" s="24"/>
      <c r="H169" s="25"/>
      <c r="I169" s="25"/>
      <c r="J169" s="25"/>
      <c r="K169" s="27"/>
      <c r="L169" s="27"/>
      <c r="M169" s="27"/>
      <c r="N169" s="27"/>
      <c r="O169" s="27"/>
      <c r="P169" s="27"/>
      <c r="Q169" s="27"/>
      <c r="R169" s="27"/>
      <c r="S169" s="23"/>
      <c r="T169" s="23"/>
      <c r="U169" s="23"/>
      <c r="V169" s="23"/>
      <c r="W169" s="23"/>
    </row>
    <row r="170" ht="16.5" spans="1:23">
      <c r="A170" s="24"/>
      <c r="B170" s="24"/>
      <c r="C170" s="24"/>
      <c r="D170" s="24"/>
      <c r="E170" s="24"/>
      <c r="F170" s="24"/>
      <c r="G170" s="24"/>
      <c r="H170" s="25"/>
      <c r="I170" s="25"/>
      <c r="J170" s="25"/>
      <c r="K170" s="27"/>
      <c r="L170" s="27"/>
      <c r="M170" s="27"/>
      <c r="N170" s="27"/>
      <c r="O170" s="27"/>
      <c r="P170" s="27"/>
      <c r="Q170" s="27"/>
      <c r="R170" s="27"/>
      <c r="S170" s="23"/>
      <c r="T170" s="23"/>
      <c r="U170" s="23"/>
      <c r="V170" s="23"/>
      <c r="W170" s="23"/>
    </row>
    <row r="171" ht="16.5" spans="1:23">
      <c r="A171" s="24"/>
      <c r="B171" s="24"/>
      <c r="C171" s="24"/>
      <c r="D171" s="24"/>
      <c r="E171" s="24"/>
      <c r="F171" s="24"/>
      <c r="G171" s="24"/>
      <c r="H171" s="25"/>
      <c r="I171" s="25"/>
      <c r="J171" s="25"/>
      <c r="K171" s="27"/>
      <c r="L171" s="27"/>
      <c r="M171" s="27"/>
      <c r="N171" s="27"/>
      <c r="O171" s="27"/>
      <c r="P171" s="27"/>
      <c r="Q171" s="27"/>
      <c r="R171" s="27"/>
      <c r="S171" s="23"/>
      <c r="T171" s="23"/>
      <c r="U171" s="23"/>
      <c r="V171" s="23"/>
      <c r="W171" s="23"/>
    </row>
    <row r="172" ht="16.5" spans="1:23">
      <c r="A172" s="24"/>
      <c r="B172" s="24"/>
      <c r="C172" s="24"/>
      <c r="D172" s="24"/>
      <c r="E172" s="24"/>
      <c r="F172" s="24"/>
      <c r="G172" s="24"/>
      <c r="H172" s="25"/>
      <c r="I172" s="25"/>
      <c r="J172" s="25"/>
      <c r="K172" s="27"/>
      <c r="L172" s="27"/>
      <c r="M172" s="27"/>
      <c r="N172" s="27"/>
      <c r="O172" s="27"/>
      <c r="P172" s="27"/>
      <c r="Q172" s="27"/>
      <c r="R172" s="27"/>
      <c r="S172" s="23"/>
      <c r="T172" s="23"/>
      <c r="U172" s="23"/>
      <c r="V172" s="23"/>
      <c r="W172" s="23"/>
    </row>
    <row r="173" ht="16.5" spans="1:23">
      <c r="A173" s="24"/>
      <c r="B173" s="24"/>
      <c r="C173" s="24"/>
      <c r="D173" s="24"/>
      <c r="E173" s="24"/>
      <c r="F173" s="24"/>
      <c r="G173" s="24"/>
      <c r="H173" s="25"/>
      <c r="I173" s="25"/>
      <c r="J173" s="25"/>
      <c r="K173" s="27"/>
      <c r="L173" s="27"/>
      <c r="M173" s="27"/>
      <c r="N173" s="27"/>
      <c r="O173" s="27"/>
      <c r="P173" s="27"/>
      <c r="Q173" s="27"/>
      <c r="R173" s="27"/>
      <c r="S173" s="23"/>
      <c r="T173" s="23"/>
      <c r="U173" s="23"/>
      <c r="V173" s="23"/>
      <c r="W173" s="23"/>
    </row>
    <row r="174" ht="16.5" spans="1:23">
      <c r="A174" s="24"/>
      <c r="B174" s="24"/>
      <c r="C174" s="24"/>
      <c r="D174" s="24"/>
      <c r="E174" s="24"/>
      <c r="F174" s="24"/>
      <c r="G174" s="24"/>
      <c r="H174" s="25"/>
      <c r="I174" s="25"/>
      <c r="J174" s="25"/>
      <c r="K174" s="27"/>
      <c r="L174" s="27"/>
      <c r="M174" s="27"/>
      <c r="N174" s="27"/>
      <c r="O174" s="27"/>
      <c r="P174" s="27"/>
      <c r="Q174" s="27"/>
      <c r="R174" s="27"/>
      <c r="S174" s="23"/>
      <c r="T174" s="23"/>
      <c r="U174" s="23"/>
      <c r="V174" s="23"/>
      <c r="W174" s="23"/>
    </row>
    <row r="175" ht="16.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8"/>
      <c r="L175" s="28"/>
      <c r="M175" s="28"/>
      <c r="N175" s="28"/>
      <c r="O175" s="28"/>
      <c r="P175" s="28"/>
      <c r="Q175" s="28"/>
      <c r="R175" s="28"/>
      <c r="S175" s="23"/>
      <c r="T175" s="23"/>
      <c r="U175" s="23"/>
      <c r="V175" s="23"/>
      <c r="W175" s="23"/>
    </row>
    <row r="176" ht="16.5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8"/>
      <c r="L176" s="28"/>
      <c r="M176" s="28"/>
      <c r="N176" s="28"/>
      <c r="O176" s="28"/>
      <c r="P176" s="28"/>
      <c r="Q176" s="28"/>
      <c r="R176" s="28"/>
      <c r="S176" s="23"/>
      <c r="T176" s="23"/>
      <c r="U176" s="23"/>
      <c r="V176" s="23"/>
      <c r="W176" s="23"/>
    </row>
    <row r="177" ht="16.5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8"/>
      <c r="P177" s="28"/>
      <c r="Q177" s="28"/>
      <c r="R177" s="28"/>
      <c r="S177" s="23"/>
      <c r="T177" s="23"/>
      <c r="U177" s="23"/>
      <c r="V177" s="23"/>
      <c r="W177" s="23"/>
    </row>
    <row r="178" ht="16.5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8"/>
      <c r="P178" s="28"/>
      <c r="Q178" s="28"/>
      <c r="R178" s="28"/>
      <c r="S178" s="23"/>
      <c r="T178" s="23"/>
      <c r="U178" s="23"/>
      <c r="V178" s="23"/>
      <c r="W178" s="23"/>
    </row>
    <row r="179" ht="16.5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8"/>
      <c r="P179" s="28"/>
      <c r="Q179" s="28"/>
      <c r="R179" s="28"/>
      <c r="S179" s="23"/>
      <c r="T179" s="23"/>
      <c r="U179" s="23"/>
      <c r="V179" s="23"/>
      <c r="W179" s="23"/>
    </row>
    <row r="180" ht="16.5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8"/>
      <c r="P180" s="28"/>
      <c r="Q180" s="28"/>
      <c r="R180" s="28"/>
      <c r="S180" s="23"/>
      <c r="T180" s="23"/>
      <c r="U180" s="23"/>
      <c r="V180" s="23"/>
      <c r="W180" s="23"/>
    </row>
    <row r="181" ht="16.5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8"/>
      <c r="P181" s="28"/>
      <c r="Q181" s="28"/>
      <c r="R181" s="28"/>
      <c r="S181" s="23"/>
      <c r="T181" s="23"/>
      <c r="U181" s="23"/>
      <c r="V181" s="23"/>
      <c r="W181" s="23"/>
    </row>
    <row r="182" ht="16.5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8"/>
      <c r="P182" s="28"/>
      <c r="Q182" s="28"/>
      <c r="R182" s="28"/>
      <c r="S182" s="23"/>
      <c r="T182" s="23"/>
      <c r="U182" s="23"/>
      <c r="V182" s="23"/>
      <c r="W182" s="23"/>
    </row>
    <row r="183" ht="16.5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8"/>
      <c r="P183" s="28"/>
      <c r="Q183" s="28"/>
      <c r="R183" s="28"/>
      <c r="S183" s="23"/>
      <c r="T183" s="23"/>
      <c r="U183" s="23"/>
      <c r="V183" s="23"/>
      <c r="W183" s="23"/>
    </row>
    <row r="184" ht="16.5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8"/>
      <c r="P184" s="28"/>
      <c r="Q184" s="28"/>
      <c r="R184" s="28"/>
      <c r="S184" s="23"/>
      <c r="T184" s="23"/>
      <c r="U184" s="23"/>
      <c r="V184" s="23"/>
      <c r="W184" s="23"/>
    </row>
    <row r="185" ht="16.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8"/>
      <c r="P185" s="28"/>
      <c r="Q185" s="28"/>
      <c r="R185" s="28"/>
      <c r="S185" s="23"/>
      <c r="T185" s="23"/>
      <c r="U185" s="23"/>
      <c r="V185" s="23"/>
      <c r="W185" s="23"/>
    </row>
    <row r="186" ht="16.5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8"/>
      <c r="P186" s="28"/>
      <c r="Q186" s="28"/>
      <c r="R186" s="28"/>
      <c r="S186" s="23"/>
      <c r="T186" s="23"/>
      <c r="U186" s="23"/>
      <c r="V186" s="23"/>
      <c r="W186" s="23"/>
    </row>
    <row r="187" ht="16.5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8"/>
      <c r="P187" s="28"/>
      <c r="Q187" s="28"/>
      <c r="R187" s="28"/>
      <c r="S187" s="23"/>
      <c r="T187" s="23"/>
      <c r="U187" s="23"/>
      <c r="V187" s="23"/>
      <c r="W187" s="23"/>
    </row>
    <row r="188" ht="16.5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8"/>
      <c r="P188" s="28"/>
      <c r="Q188" s="28"/>
      <c r="R188" s="28"/>
      <c r="S188" s="23"/>
      <c r="T188" s="23"/>
      <c r="U188" s="23"/>
      <c r="V188" s="23"/>
      <c r="W188" s="23"/>
    </row>
    <row r="189" ht="16.5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8"/>
      <c r="P189" s="28"/>
      <c r="Q189" s="28"/>
      <c r="R189" s="28"/>
      <c r="S189" s="23"/>
      <c r="T189" s="23"/>
      <c r="U189" s="23"/>
      <c r="V189" s="23"/>
      <c r="W189" s="23"/>
    </row>
    <row r="190" ht="16.5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8"/>
      <c r="P190" s="28"/>
      <c r="Q190" s="28"/>
      <c r="R190" s="28"/>
      <c r="S190" s="23"/>
      <c r="T190" s="23"/>
      <c r="U190" s="23"/>
      <c r="V190" s="23"/>
      <c r="W190" s="23"/>
    </row>
    <row r="191" ht="16.5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8"/>
      <c r="P191" s="28"/>
      <c r="Q191" s="28"/>
      <c r="R191" s="28"/>
      <c r="S191" s="23"/>
      <c r="T191" s="23"/>
      <c r="U191" s="23"/>
      <c r="V191" s="23"/>
      <c r="W191" s="23"/>
    </row>
    <row r="192" ht="16.5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8"/>
      <c r="P192" s="28"/>
      <c r="Q192" s="28"/>
      <c r="R192" s="28"/>
      <c r="S192" s="23"/>
      <c r="T192" s="23"/>
      <c r="U192" s="23"/>
      <c r="V192" s="23"/>
      <c r="W192" s="23"/>
    </row>
    <row r="193" ht="16.5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8"/>
      <c r="L193" s="28"/>
      <c r="M193" s="28"/>
      <c r="N193" s="28"/>
      <c r="O193" s="28"/>
      <c r="P193" s="28"/>
      <c r="Q193" s="28"/>
      <c r="R193" s="28"/>
      <c r="S193" s="23"/>
      <c r="T193" s="23"/>
      <c r="U193" s="23"/>
      <c r="V193" s="23"/>
      <c r="W193" s="23"/>
    </row>
    <row r="194" ht="16.5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8"/>
      <c r="L194" s="28"/>
      <c r="M194" s="28"/>
      <c r="N194" s="28"/>
      <c r="O194" s="28"/>
      <c r="P194" s="28"/>
      <c r="Q194" s="28"/>
      <c r="R194" s="28"/>
      <c r="S194" s="23"/>
      <c r="T194" s="23"/>
      <c r="U194" s="23"/>
      <c r="V194" s="23"/>
      <c r="W194" s="23"/>
    </row>
    <row r="195" ht="16.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8"/>
      <c r="P195" s="28"/>
      <c r="Q195" s="28"/>
      <c r="R195" s="28"/>
      <c r="S195" s="23"/>
      <c r="T195" s="23"/>
      <c r="U195" s="23"/>
      <c r="V195" s="23"/>
      <c r="W195" s="23"/>
    </row>
    <row r="196" ht="16.5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8"/>
      <c r="P196" s="28"/>
      <c r="Q196" s="28"/>
      <c r="R196" s="28"/>
      <c r="S196" s="23"/>
      <c r="T196" s="23"/>
      <c r="U196" s="23"/>
      <c r="V196" s="23"/>
      <c r="W196" s="23"/>
    </row>
    <row r="197" ht="16.5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8"/>
      <c r="P197" s="28"/>
      <c r="Q197" s="28"/>
      <c r="R197" s="28"/>
      <c r="S197" s="23"/>
      <c r="T197" s="23"/>
      <c r="U197" s="23"/>
      <c r="V197" s="23"/>
      <c r="W197" s="23"/>
    </row>
    <row r="198" ht="16.5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8"/>
      <c r="P198" s="28"/>
      <c r="Q198" s="28"/>
      <c r="R198" s="28"/>
      <c r="S198" s="23"/>
      <c r="T198" s="23"/>
      <c r="U198" s="23"/>
      <c r="V198" s="23"/>
      <c r="W198" s="23"/>
    </row>
    <row r="199" ht="16.5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8"/>
      <c r="P199" s="28"/>
      <c r="Q199" s="28"/>
      <c r="R199" s="28"/>
      <c r="S199" s="23"/>
      <c r="T199" s="23"/>
      <c r="U199" s="23"/>
      <c r="V199" s="23"/>
      <c r="W199" s="23"/>
    </row>
    <row r="200" ht="16.5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8"/>
      <c r="L200" s="28"/>
      <c r="M200" s="28"/>
      <c r="N200" s="28"/>
      <c r="O200" s="28"/>
      <c r="P200" s="28"/>
      <c r="Q200" s="28"/>
      <c r="R200" s="28"/>
      <c r="S200" s="23"/>
      <c r="T200" s="23"/>
      <c r="U200" s="23"/>
      <c r="V200" s="23"/>
      <c r="W200" s="23"/>
    </row>
    <row r="201" ht="16.5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8"/>
      <c r="P201" s="28"/>
      <c r="Q201" s="28"/>
      <c r="R201" s="28"/>
      <c r="S201" s="23"/>
      <c r="T201" s="23"/>
      <c r="U201" s="23"/>
      <c r="V201" s="23"/>
      <c r="W201" s="23"/>
    </row>
    <row r="202" ht="16.5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8"/>
      <c r="P202" s="28"/>
      <c r="Q202" s="28"/>
      <c r="R202" s="28"/>
      <c r="S202" s="23"/>
      <c r="T202" s="23"/>
      <c r="U202" s="23"/>
      <c r="V202" s="23"/>
      <c r="W202" s="23"/>
    </row>
    <row r="203" ht="16.5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8"/>
      <c r="P203" s="28"/>
      <c r="Q203" s="28"/>
      <c r="R203" s="28"/>
      <c r="S203" s="23"/>
      <c r="T203" s="23"/>
      <c r="U203" s="23"/>
      <c r="V203" s="23"/>
      <c r="W203" s="23"/>
    </row>
    <row r="204" ht="16.5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8"/>
      <c r="P204" s="28"/>
      <c r="Q204" s="28"/>
      <c r="R204" s="28"/>
      <c r="S204" s="23"/>
      <c r="T204" s="23"/>
      <c r="U204" s="23"/>
      <c r="V204" s="23"/>
      <c r="W204" s="23"/>
    </row>
    <row r="205" ht="16.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8"/>
      <c r="P205" s="28"/>
      <c r="Q205" s="28"/>
      <c r="R205" s="28"/>
      <c r="S205" s="23"/>
      <c r="T205" s="23"/>
      <c r="U205" s="23"/>
      <c r="V205" s="23"/>
      <c r="W205" s="23"/>
    </row>
    <row r="206" ht="16.5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8"/>
      <c r="P206" s="28"/>
      <c r="Q206" s="28"/>
      <c r="R206" s="28"/>
      <c r="S206" s="23"/>
      <c r="T206" s="23"/>
      <c r="U206" s="23"/>
      <c r="V206" s="23"/>
      <c r="W206" s="23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8"/>
      <c r="P207" s="28"/>
      <c r="Q207" s="28"/>
      <c r="R207" s="28"/>
      <c r="S207" s="23"/>
      <c r="T207" s="23"/>
      <c r="U207" s="23"/>
      <c r="V207" s="23"/>
      <c r="W207" s="23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8"/>
      <c r="L208" s="28"/>
      <c r="M208" s="28"/>
      <c r="N208" s="28"/>
      <c r="O208" s="28"/>
      <c r="P208" s="28"/>
      <c r="Q208" s="28"/>
      <c r="R208" s="28"/>
      <c r="S208" s="23"/>
      <c r="T208" s="23"/>
      <c r="U208" s="23"/>
      <c r="V208" s="23"/>
      <c r="W208" s="23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8"/>
      <c r="P209" s="28"/>
      <c r="Q209" s="28"/>
      <c r="R209" s="28"/>
      <c r="S209" s="23"/>
      <c r="T209" s="23"/>
      <c r="U209" s="23"/>
      <c r="V209" s="23"/>
      <c r="W209" s="23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8"/>
      <c r="P210" s="28"/>
      <c r="Q210" s="28"/>
      <c r="R210" s="28"/>
      <c r="S210" s="23"/>
      <c r="T210" s="23"/>
      <c r="U210" s="23"/>
      <c r="V210" s="23"/>
      <c r="W210" s="23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8"/>
      <c r="L211" s="28"/>
      <c r="M211" s="28"/>
      <c r="N211" s="28"/>
      <c r="O211" s="28"/>
      <c r="P211" s="28"/>
      <c r="Q211" s="28"/>
      <c r="R211" s="28"/>
      <c r="S211" s="23"/>
      <c r="T211" s="23"/>
      <c r="U211" s="23"/>
      <c r="V211" s="23"/>
      <c r="W211" s="23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8"/>
      <c r="P212" s="28"/>
      <c r="Q212" s="28"/>
      <c r="R212" s="28"/>
      <c r="S212" s="23"/>
      <c r="T212" s="23"/>
      <c r="U212" s="23"/>
      <c r="V212" s="23"/>
      <c r="W212" s="23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8"/>
      <c r="P213" s="28"/>
      <c r="Q213" s="28"/>
      <c r="R213" s="28"/>
      <c r="S213" s="23"/>
      <c r="T213" s="23"/>
      <c r="U213" s="23"/>
      <c r="V213" s="23"/>
      <c r="W213" s="23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8"/>
      <c r="P214" s="28"/>
      <c r="Q214" s="28"/>
      <c r="R214" s="28"/>
      <c r="S214" s="23"/>
      <c r="T214" s="23"/>
      <c r="U214" s="23"/>
      <c r="V214" s="23"/>
      <c r="W214" s="23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8"/>
      <c r="P215" s="28"/>
      <c r="Q215" s="28"/>
      <c r="R215" s="28"/>
      <c r="S215" s="23"/>
      <c r="T215" s="23"/>
      <c r="U215" s="23"/>
      <c r="V215" s="23"/>
      <c r="W215" s="23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8"/>
      <c r="P216" s="28"/>
      <c r="Q216" s="28"/>
      <c r="R216" s="28"/>
      <c r="S216" s="23"/>
      <c r="T216" s="23"/>
      <c r="U216" s="23"/>
      <c r="V216" s="23"/>
      <c r="W216" s="23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8"/>
      <c r="P217" s="28"/>
      <c r="Q217" s="28"/>
      <c r="R217" s="28"/>
      <c r="S217" s="23"/>
      <c r="T217" s="23"/>
      <c r="U217" s="23"/>
      <c r="V217" s="23"/>
      <c r="W217" s="23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8"/>
      <c r="L218" s="28"/>
      <c r="M218" s="28"/>
      <c r="N218" s="28"/>
      <c r="O218" s="28"/>
      <c r="P218" s="28"/>
      <c r="Q218" s="28"/>
      <c r="R218" s="28"/>
      <c r="S218" s="23"/>
      <c r="T218" s="23"/>
      <c r="U218" s="23"/>
      <c r="V218" s="23"/>
      <c r="W218" s="23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8"/>
      <c r="L219" s="28"/>
      <c r="M219" s="28"/>
      <c r="N219" s="28"/>
      <c r="O219" s="28"/>
      <c r="P219" s="28"/>
      <c r="Q219" s="28"/>
      <c r="R219" s="28"/>
      <c r="S219" s="23"/>
      <c r="T219" s="23"/>
      <c r="U219" s="23"/>
      <c r="V219" s="23"/>
      <c r="W219" s="23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8"/>
      <c r="L220" s="28"/>
      <c r="M220" s="28"/>
      <c r="N220" s="28"/>
      <c r="O220" s="28"/>
      <c r="P220" s="28"/>
      <c r="Q220" s="28"/>
      <c r="R220" s="28"/>
      <c r="S220" s="23"/>
      <c r="T220" s="23"/>
      <c r="U220" s="23"/>
      <c r="V220" s="23"/>
      <c r="W220" s="23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8"/>
      <c r="P221" s="28"/>
      <c r="Q221" s="28"/>
      <c r="R221" s="28"/>
      <c r="S221" s="23"/>
      <c r="T221" s="23"/>
      <c r="U221" s="23"/>
      <c r="V221" s="23"/>
      <c r="W221" s="23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8"/>
      <c r="P222" s="28"/>
      <c r="Q222" s="28"/>
      <c r="R222" s="28"/>
      <c r="S222" s="23"/>
      <c r="T222" s="23"/>
      <c r="U222" s="23"/>
      <c r="V222" s="23"/>
      <c r="W222" s="23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8"/>
      <c r="P223" s="28"/>
      <c r="Q223" s="28"/>
      <c r="R223" s="28"/>
      <c r="S223" s="23"/>
      <c r="T223" s="23"/>
      <c r="U223" s="23"/>
      <c r="V223" s="23"/>
      <c r="W223" s="23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8"/>
      <c r="P224" s="28"/>
      <c r="Q224" s="28"/>
      <c r="R224" s="28"/>
      <c r="S224" s="23"/>
      <c r="T224" s="23"/>
      <c r="U224" s="23"/>
      <c r="V224" s="23"/>
      <c r="W224" s="23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8"/>
      <c r="P225" s="28"/>
      <c r="Q225" s="28"/>
      <c r="R225" s="28"/>
      <c r="S225" s="23"/>
      <c r="T225" s="23"/>
      <c r="U225" s="23"/>
      <c r="V225" s="23"/>
      <c r="W225" s="23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8"/>
      <c r="P226" s="28"/>
      <c r="Q226" s="28"/>
      <c r="R226" s="28"/>
      <c r="S226" s="23"/>
      <c r="T226" s="23"/>
      <c r="U226" s="23"/>
      <c r="V226" s="23"/>
      <c r="W226" s="23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8"/>
      <c r="P227" s="28"/>
      <c r="Q227" s="28"/>
      <c r="R227" s="28"/>
      <c r="S227" s="23"/>
      <c r="T227" s="23"/>
      <c r="U227" s="23"/>
      <c r="V227" s="23"/>
      <c r="W227" s="23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8"/>
      <c r="P228" s="28"/>
      <c r="Q228" s="28"/>
      <c r="R228" s="28"/>
      <c r="S228" s="23"/>
      <c r="T228" s="23"/>
      <c r="U228" s="23"/>
      <c r="V228" s="23"/>
      <c r="W228" s="23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8"/>
      <c r="L229" s="28"/>
      <c r="M229" s="28"/>
      <c r="N229" s="28"/>
      <c r="O229" s="28"/>
      <c r="P229" s="28"/>
      <c r="Q229" s="28"/>
      <c r="R229" s="28"/>
      <c r="S229" s="23"/>
      <c r="T229" s="23"/>
      <c r="U229" s="23"/>
      <c r="V229" s="23"/>
      <c r="W229" s="23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8"/>
      <c r="L230" s="28"/>
      <c r="M230" s="28"/>
      <c r="N230" s="28"/>
      <c r="O230" s="28"/>
      <c r="P230" s="28"/>
      <c r="Q230" s="28"/>
      <c r="R230" s="28"/>
      <c r="S230" s="23"/>
      <c r="T230" s="23"/>
      <c r="U230" s="23"/>
      <c r="V230" s="23"/>
      <c r="W230" s="23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8"/>
      <c r="L231" s="28"/>
      <c r="M231" s="28"/>
      <c r="N231" s="28"/>
      <c r="O231" s="28"/>
      <c r="P231" s="28"/>
      <c r="Q231" s="28"/>
      <c r="R231" s="28"/>
      <c r="S231" s="23"/>
      <c r="T231" s="23"/>
      <c r="U231" s="23"/>
      <c r="V231" s="23"/>
      <c r="W231" s="23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8"/>
      <c r="L232" s="28"/>
      <c r="M232" s="28"/>
      <c r="N232" s="28"/>
      <c r="O232" s="28"/>
      <c r="P232" s="28"/>
      <c r="Q232" s="28"/>
      <c r="R232" s="28"/>
      <c r="S232" s="23"/>
      <c r="T232" s="23"/>
      <c r="U232" s="23"/>
      <c r="V232" s="23"/>
      <c r="W232" s="23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8"/>
      <c r="L233" s="28"/>
      <c r="M233" s="28"/>
      <c r="N233" s="28"/>
      <c r="O233" s="28"/>
      <c r="P233" s="28"/>
      <c r="Q233" s="28"/>
      <c r="R233" s="28"/>
      <c r="S233" s="23"/>
      <c r="T233" s="23"/>
      <c r="U233" s="23"/>
      <c r="V233" s="23"/>
      <c r="W233" s="23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8"/>
      <c r="L234" s="28"/>
      <c r="M234" s="28"/>
      <c r="N234" s="28"/>
      <c r="O234" s="28"/>
      <c r="P234" s="28"/>
      <c r="Q234" s="28"/>
      <c r="R234" s="28"/>
      <c r="S234" s="23"/>
      <c r="T234" s="23"/>
      <c r="U234" s="23"/>
      <c r="V234" s="23"/>
      <c r="W234" s="23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8"/>
      <c r="L235" s="28"/>
      <c r="M235" s="28"/>
      <c r="N235" s="28"/>
      <c r="O235" s="28"/>
      <c r="P235" s="28"/>
      <c r="Q235" s="28"/>
      <c r="R235" s="28"/>
      <c r="S235" s="23"/>
      <c r="T235" s="23"/>
      <c r="U235" s="23"/>
      <c r="V235" s="23"/>
      <c r="W235" s="23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8"/>
      <c r="L236" s="28"/>
      <c r="M236" s="28"/>
      <c r="N236" s="28"/>
      <c r="O236" s="28"/>
      <c r="P236" s="28"/>
      <c r="Q236" s="28"/>
      <c r="R236" s="28"/>
      <c r="S236" s="23"/>
      <c r="T236" s="23"/>
      <c r="U236" s="23"/>
      <c r="V236" s="23"/>
      <c r="W236" s="23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8"/>
      <c r="L237" s="28"/>
      <c r="M237" s="28"/>
      <c r="N237" s="28"/>
      <c r="O237" s="28"/>
      <c r="P237" s="28"/>
      <c r="Q237" s="28"/>
      <c r="R237" s="28"/>
      <c r="S237" s="23"/>
      <c r="T237" s="23"/>
      <c r="U237" s="23"/>
      <c r="V237" s="23"/>
      <c r="W237" s="23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8"/>
      <c r="L238" s="28"/>
      <c r="M238" s="28"/>
      <c r="N238" s="28"/>
      <c r="O238" s="28"/>
      <c r="P238" s="28"/>
      <c r="Q238" s="28"/>
      <c r="R238" s="28"/>
      <c r="S238" s="23"/>
      <c r="T238" s="23"/>
      <c r="U238" s="23"/>
      <c r="V238" s="23"/>
      <c r="W238" s="23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8"/>
      <c r="L239" s="28"/>
      <c r="M239" s="28"/>
      <c r="N239" s="28"/>
      <c r="O239" s="28"/>
      <c r="P239" s="28"/>
      <c r="Q239" s="28"/>
      <c r="R239" s="28"/>
      <c r="S239" s="23"/>
      <c r="T239" s="23"/>
      <c r="U239" s="23"/>
      <c r="V239" s="23"/>
      <c r="W239" s="23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8"/>
      <c r="L240" s="28"/>
      <c r="M240" s="28"/>
      <c r="N240" s="28"/>
      <c r="O240" s="28"/>
      <c r="P240" s="28"/>
      <c r="Q240" s="28"/>
      <c r="R240" s="28"/>
      <c r="S240" s="23"/>
      <c r="T240" s="23"/>
      <c r="U240" s="23"/>
      <c r="V240" s="23"/>
      <c r="W240" s="23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8"/>
      <c r="L241" s="28"/>
      <c r="M241" s="28"/>
      <c r="N241" s="28"/>
      <c r="O241" s="28"/>
      <c r="P241" s="28"/>
      <c r="Q241" s="28"/>
      <c r="R241" s="28"/>
      <c r="S241" s="23"/>
      <c r="T241" s="23"/>
      <c r="U241" s="23"/>
      <c r="V241" s="23"/>
      <c r="W241" s="23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8"/>
      <c r="L242" s="28"/>
      <c r="M242" s="28"/>
      <c r="N242" s="28"/>
      <c r="O242" s="28"/>
      <c r="P242" s="28"/>
      <c r="Q242" s="28"/>
      <c r="R242" s="28"/>
      <c r="S242" s="23"/>
      <c r="T242" s="23"/>
      <c r="U242" s="23"/>
      <c r="V242" s="23"/>
      <c r="W242" s="23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8"/>
      <c r="L243" s="28"/>
      <c r="M243" s="28"/>
      <c r="N243" s="28"/>
      <c r="O243" s="28"/>
      <c r="P243" s="28"/>
      <c r="Q243" s="28"/>
      <c r="R243" s="28"/>
      <c r="S243" s="23"/>
      <c r="T243" s="23"/>
      <c r="U243" s="23"/>
      <c r="V243" s="23"/>
      <c r="W243" s="23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8"/>
      <c r="L244" s="28"/>
      <c r="M244" s="28"/>
      <c r="N244" s="28"/>
      <c r="O244" s="28"/>
      <c r="P244" s="28"/>
      <c r="Q244" s="28"/>
      <c r="R244" s="28"/>
      <c r="S244" s="23"/>
      <c r="T244" s="23"/>
      <c r="U244" s="23"/>
      <c r="V244" s="23"/>
      <c r="W244" s="23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8"/>
      <c r="L245" s="28"/>
      <c r="M245" s="28"/>
      <c r="N245" s="28"/>
      <c r="O245" s="28"/>
      <c r="P245" s="28"/>
      <c r="Q245" s="28"/>
      <c r="R245" s="28"/>
      <c r="S245" s="23"/>
      <c r="T245" s="23"/>
      <c r="U245" s="23"/>
      <c r="V245" s="23"/>
      <c r="W245" s="23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8"/>
      <c r="L246" s="28"/>
      <c r="M246" s="28"/>
      <c r="N246" s="28"/>
      <c r="O246" s="28"/>
      <c r="P246" s="28"/>
      <c r="Q246" s="28"/>
      <c r="R246" s="28"/>
      <c r="S246" s="23"/>
      <c r="T246" s="23"/>
      <c r="U246" s="23"/>
      <c r="V246" s="23"/>
      <c r="W246" s="23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8"/>
      <c r="L247" s="28"/>
      <c r="M247" s="28"/>
      <c r="N247" s="28"/>
      <c r="O247" s="28"/>
      <c r="P247" s="28"/>
      <c r="Q247" s="28"/>
      <c r="R247" s="28"/>
      <c r="S247" s="23"/>
      <c r="T247" s="23"/>
      <c r="U247" s="23"/>
      <c r="V247" s="23"/>
      <c r="W247" s="23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8"/>
      <c r="L248" s="28"/>
      <c r="M248" s="28"/>
      <c r="N248" s="28"/>
      <c r="O248" s="28"/>
      <c r="P248" s="28"/>
      <c r="Q248" s="28"/>
      <c r="R248" s="28"/>
      <c r="S248" s="23"/>
      <c r="T248" s="23"/>
      <c r="U248" s="23"/>
      <c r="V248" s="23"/>
      <c r="W248" s="23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8"/>
      <c r="L249" s="28"/>
      <c r="M249" s="28"/>
      <c r="N249" s="28"/>
      <c r="O249" s="28"/>
      <c r="P249" s="28"/>
      <c r="Q249" s="28"/>
      <c r="R249" s="28"/>
      <c r="S249" s="23"/>
      <c r="T249" s="23"/>
      <c r="U249" s="23"/>
      <c r="V249" s="23"/>
      <c r="W249" s="23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8"/>
      <c r="L250" s="28"/>
      <c r="M250" s="28"/>
      <c r="N250" s="28"/>
      <c r="O250" s="28"/>
      <c r="P250" s="28"/>
      <c r="Q250" s="28"/>
      <c r="R250" s="28"/>
      <c r="S250" s="23"/>
      <c r="T250" s="23"/>
      <c r="U250" s="23"/>
      <c r="V250" s="23"/>
      <c r="W250" s="23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8"/>
      <c r="L251" s="28"/>
      <c r="M251" s="28"/>
      <c r="N251" s="28"/>
      <c r="O251" s="28"/>
      <c r="P251" s="28"/>
      <c r="Q251" s="28"/>
      <c r="R251" s="28"/>
      <c r="S251" s="23"/>
      <c r="T251" s="23"/>
      <c r="U251" s="23"/>
      <c r="V251" s="23"/>
      <c r="W251" s="23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8"/>
      <c r="L252" s="28"/>
      <c r="M252" s="28"/>
      <c r="N252" s="28"/>
      <c r="O252" s="28"/>
      <c r="P252" s="28"/>
      <c r="Q252" s="28"/>
      <c r="R252" s="28"/>
      <c r="S252" s="23"/>
      <c r="T252" s="23"/>
      <c r="U252" s="23"/>
      <c r="V252" s="23"/>
      <c r="W252" s="23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8"/>
      <c r="L253" s="28"/>
      <c r="M253" s="28"/>
      <c r="N253" s="28"/>
      <c r="O253" s="28"/>
      <c r="P253" s="28"/>
      <c r="Q253" s="28"/>
      <c r="R253" s="28"/>
      <c r="S253" s="23"/>
      <c r="T253" s="23"/>
      <c r="U253" s="23"/>
      <c r="V253" s="23"/>
      <c r="W253" s="23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8"/>
      <c r="L254" s="28"/>
      <c r="M254" s="28"/>
      <c r="N254" s="28"/>
      <c r="O254" s="28"/>
      <c r="P254" s="28"/>
      <c r="Q254" s="28"/>
      <c r="R254" s="28"/>
      <c r="S254" s="23"/>
      <c r="T254" s="23"/>
      <c r="U254" s="23"/>
      <c r="V254" s="23"/>
      <c r="W254" s="23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8"/>
      <c r="L255" s="28"/>
      <c r="M255" s="28"/>
      <c r="N255" s="28"/>
      <c r="O255" s="28"/>
      <c r="P255" s="28"/>
      <c r="Q255" s="28"/>
      <c r="R255" s="28"/>
      <c r="S255" s="23"/>
      <c r="T255" s="23"/>
      <c r="U255" s="23"/>
      <c r="V255" s="23"/>
      <c r="W255" s="23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8"/>
      <c r="L256" s="28"/>
      <c r="M256" s="28"/>
      <c r="N256" s="28"/>
      <c r="O256" s="28"/>
      <c r="P256" s="28"/>
      <c r="Q256" s="28"/>
      <c r="R256" s="28"/>
      <c r="S256" s="23"/>
      <c r="T256" s="23"/>
      <c r="U256" s="23"/>
      <c r="V256" s="23"/>
      <c r="W256" s="23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8"/>
      <c r="L257" s="28"/>
      <c r="M257" s="28"/>
      <c r="N257" s="28"/>
      <c r="O257" s="28"/>
      <c r="P257" s="28"/>
      <c r="Q257" s="28"/>
      <c r="R257" s="28"/>
      <c r="S257" s="23"/>
      <c r="T257" s="23"/>
      <c r="U257" s="23"/>
      <c r="V257" s="23"/>
      <c r="W257" s="23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8"/>
      <c r="L258" s="28"/>
      <c r="M258" s="28"/>
      <c r="N258" s="28"/>
      <c r="O258" s="28"/>
      <c r="P258" s="28"/>
      <c r="Q258" s="28"/>
      <c r="R258" s="28"/>
      <c r="S258" s="23"/>
      <c r="T258" s="23"/>
      <c r="U258" s="23"/>
      <c r="V258" s="23"/>
      <c r="W258" s="23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8"/>
      <c r="L259" s="28"/>
      <c r="M259" s="28"/>
      <c r="N259" s="28"/>
      <c r="O259" s="28"/>
      <c r="P259" s="28"/>
      <c r="Q259" s="28"/>
      <c r="R259" s="28"/>
      <c r="S259" s="23"/>
      <c r="T259" s="23"/>
      <c r="U259" s="23"/>
      <c r="V259" s="23"/>
      <c r="W259" s="23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8"/>
      <c r="L260" s="28"/>
      <c r="M260" s="28"/>
      <c r="N260" s="28"/>
      <c r="O260" s="28"/>
      <c r="P260" s="28"/>
      <c r="Q260" s="28"/>
      <c r="R260" s="28"/>
      <c r="S260" s="23"/>
      <c r="T260" s="23"/>
      <c r="U260" s="23"/>
      <c r="V260" s="23"/>
      <c r="W260" s="23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8"/>
      <c r="L261" s="28"/>
      <c r="M261" s="28"/>
      <c r="N261" s="28"/>
      <c r="O261" s="28"/>
      <c r="P261" s="28"/>
      <c r="Q261" s="28"/>
      <c r="R261" s="28"/>
      <c r="S261" s="23"/>
      <c r="T261" s="23"/>
      <c r="U261" s="23"/>
      <c r="V261" s="23"/>
      <c r="W261" s="23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8"/>
      <c r="L262" s="28"/>
      <c r="M262" s="28"/>
      <c r="N262" s="28"/>
      <c r="O262" s="28"/>
      <c r="P262" s="28"/>
      <c r="Q262" s="28"/>
      <c r="R262" s="28"/>
      <c r="S262" s="23"/>
      <c r="T262" s="23"/>
      <c r="U262" s="23"/>
      <c r="V262" s="23"/>
      <c r="W262" s="23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8"/>
      <c r="L263" s="28"/>
      <c r="M263" s="28"/>
      <c r="N263" s="28"/>
      <c r="O263" s="28"/>
      <c r="P263" s="28"/>
      <c r="Q263" s="28"/>
      <c r="R263" s="28"/>
      <c r="S263" s="23"/>
      <c r="T263" s="23"/>
      <c r="U263" s="23"/>
      <c r="V263" s="23"/>
      <c r="W263" s="23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8"/>
      <c r="L264" s="28"/>
      <c r="M264" s="28"/>
      <c r="N264" s="28"/>
      <c r="O264" s="28"/>
      <c r="P264" s="28"/>
      <c r="Q264" s="28"/>
      <c r="R264" s="28"/>
      <c r="S264" s="23"/>
      <c r="T264" s="23"/>
      <c r="U264" s="23"/>
      <c r="V264" s="23"/>
      <c r="W264" s="23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8"/>
      <c r="L265" s="28"/>
      <c r="M265" s="28"/>
      <c r="N265" s="28"/>
      <c r="O265" s="28"/>
      <c r="P265" s="28"/>
      <c r="Q265" s="28"/>
      <c r="R265" s="28"/>
      <c r="S265" s="23"/>
      <c r="T265" s="23"/>
      <c r="U265" s="23"/>
      <c r="V265" s="23"/>
      <c r="W265" s="23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8"/>
      <c r="L266" s="28"/>
      <c r="M266" s="28"/>
      <c r="N266" s="28"/>
      <c r="O266" s="28"/>
      <c r="P266" s="28"/>
      <c r="Q266" s="28"/>
      <c r="R266" s="28"/>
      <c r="S266" s="23"/>
      <c r="T266" s="23"/>
      <c r="U266" s="23"/>
      <c r="V266" s="23"/>
      <c r="W266" s="23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8"/>
      <c r="L267" s="28"/>
      <c r="M267" s="28"/>
      <c r="N267" s="28"/>
      <c r="O267" s="28"/>
      <c r="P267" s="28"/>
      <c r="Q267" s="28"/>
      <c r="R267" s="28"/>
      <c r="S267" s="23"/>
      <c r="T267" s="23"/>
      <c r="U267" s="23"/>
      <c r="V267" s="23"/>
      <c r="W267" s="23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8"/>
      <c r="L268" s="28"/>
      <c r="M268" s="28"/>
      <c r="N268" s="28"/>
      <c r="O268" s="28"/>
      <c r="P268" s="28"/>
      <c r="Q268" s="28"/>
      <c r="R268" s="28"/>
      <c r="S268" s="23"/>
      <c r="T268" s="23"/>
      <c r="U268" s="23"/>
      <c r="V268" s="23"/>
      <c r="W268" s="23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8"/>
      <c r="L269" s="28"/>
      <c r="M269" s="28"/>
      <c r="N269" s="28"/>
      <c r="O269" s="28"/>
      <c r="P269" s="28"/>
      <c r="Q269" s="28"/>
      <c r="R269" s="28"/>
      <c r="S269" s="23"/>
      <c r="T269" s="23"/>
      <c r="U269" s="23"/>
      <c r="V269" s="23"/>
      <c r="W269" s="23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8"/>
      <c r="L270" s="28"/>
      <c r="M270" s="28"/>
      <c r="N270" s="28"/>
      <c r="O270" s="28"/>
      <c r="P270" s="28"/>
      <c r="Q270" s="28"/>
      <c r="R270" s="28"/>
      <c r="S270" s="23"/>
      <c r="T270" s="23"/>
      <c r="U270" s="23"/>
      <c r="V270" s="23"/>
      <c r="W270" s="23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8"/>
      <c r="L271" s="28"/>
      <c r="M271" s="28"/>
      <c r="N271" s="28"/>
      <c r="O271" s="28"/>
      <c r="P271" s="28"/>
      <c r="Q271" s="28"/>
      <c r="R271" s="28"/>
      <c r="S271" s="23"/>
      <c r="T271" s="23"/>
      <c r="U271" s="23"/>
      <c r="V271" s="23"/>
      <c r="W271" s="23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8"/>
      <c r="L272" s="28"/>
      <c r="M272" s="28"/>
      <c r="N272" s="28"/>
      <c r="O272" s="28"/>
      <c r="P272" s="28"/>
      <c r="Q272" s="28"/>
      <c r="R272" s="28"/>
      <c r="S272" s="23"/>
      <c r="T272" s="23"/>
      <c r="U272" s="23"/>
      <c r="V272" s="23"/>
      <c r="W272" s="23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8"/>
      <c r="L273" s="28"/>
      <c r="M273" s="28"/>
      <c r="N273" s="28"/>
      <c r="O273" s="28"/>
      <c r="P273" s="28"/>
      <c r="Q273" s="28"/>
      <c r="R273" s="28"/>
      <c r="S273" s="23"/>
      <c r="T273" s="23"/>
      <c r="U273" s="23"/>
      <c r="V273" s="23"/>
      <c r="W273" s="23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8"/>
      <c r="L274" s="28"/>
      <c r="M274" s="28"/>
      <c r="N274" s="28"/>
      <c r="O274" s="28"/>
      <c r="P274" s="28"/>
      <c r="Q274" s="28"/>
      <c r="R274" s="28"/>
      <c r="S274" s="23"/>
      <c r="T274" s="23"/>
      <c r="U274" s="23"/>
      <c r="V274" s="23"/>
      <c r="W274" s="23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8"/>
      <c r="L275" s="28"/>
      <c r="M275" s="28"/>
      <c r="N275" s="28"/>
      <c r="O275" s="28"/>
      <c r="P275" s="28"/>
      <c r="Q275" s="28"/>
      <c r="R275" s="28"/>
      <c r="S275" s="23"/>
      <c r="T275" s="23"/>
      <c r="U275" s="23"/>
      <c r="V275" s="23"/>
      <c r="W275" s="23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8"/>
      <c r="L276" s="28"/>
      <c r="M276" s="28"/>
      <c r="N276" s="28"/>
      <c r="O276" s="28"/>
      <c r="P276" s="28"/>
      <c r="Q276" s="28"/>
      <c r="R276" s="28"/>
      <c r="S276" s="23"/>
      <c r="T276" s="23"/>
      <c r="U276" s="23"/>
      <c r="V276" s="23"/>
      <c r="W276" s="23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8"/>
      <c r="L277" s="28"/>
      <c r="M277" s="28"/>
      <c r="N277" s="28"/>
      <c r="O277" s="28"/>
      <c r="P277" s="28"/>
      <c r="Q277" s="28"/>
      <c r="R277" s="28"/>
      <c r="S277" s="23"/>
      <c r="T277" s="23"/>
      <c r="U277" s="23"/>
      <c r="V277" s="23"/>
      <c r="W277" s="23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8"/>
      <c r="L278" s="28"/>
      <c r="M278" s="28"/>
      <c r="N278" s="28"/>
      <c r="O278" s="28"/>
      <c r="P278" s="28"/>
      <c r="Q278" s="28"/>
      <c r="R278" s="28"/>
      <c r="S278" s="23"/>
      <c r="T278" s="23"/>
      <c r="U278" s="23"/>
      <c r="V278" s="23"/>
      <c r="W278" s="23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8"/>
      <c r="L279" s="28"/>
      <c r="M279" s="28"/>
      <c r="N279" s="28"/>
      <c r="O279" s="28"/>
      <c r="P279" s="28"/>
      <c r="Q279" s="28"/>
      <c r="R279" s="28"/>
      <c r="S279" s="23"/>
      <c r="T279" s="23"/>
      <c r="U279" s="23"/>
      <c r="V279" s="23"/>
      <c r="W279" s="23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8"/>
      <c r="L280" s="28"/>
      <c r="M280" s="28"/>
      <c r="N280" s="28"/>
      <c r="O280" s="28"/>
      <c r="P280" s="28"/>
      <c r="Q280" s="28"/>
      <c r="R280" s="28"/>
      <c r="S280" s="23"/>
      <c r="T280" s="23"/>
      <c r="U280" s="23"/>
      <c r="V280" s="23"/>
      <c r="W280" s="23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8"/>
      <c r="L281" s="28"/>
      <c r="M281" s="28"/>
      <c r="N281" s="28"/>
      <c r="O281" s="28"/>
      <c r="P281" s="28"/>
      <c r="Q281" s="28"/>
      <c r="R281" s="28"/>
      <c r="S281" s="23"/>
      <c r="T281" s="23"/>
      <c r="U281" s="23"/>
      <c r="V281" s="23"/>
      <c r="W281" s="23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8"/>
      <c r="L282" s="28"/>
      <c r="M282" s="28"/>
      <c r="N282" s="28"/>
      <c r="O282" s="28"/>
      <c r="P282" s="28"/>
      <c r="Q282" s="28"/>
      <c r="R282" s="28"/>
      <c r="S282" s="23"/>
      <c r="T282" s="23"/>
      <c r="U282" s="23"/>
      <c r="V282" s="23"/>
      <c r="W282" s="23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8"/>
      <c r="L283" s="28"/>
      <c r="M283" s="28"/>
      <c r="N283" s="28"/>
      <c r="O283" s="28"/>
      <c r="P283" s="28"/>
      <c r="Q283" s="28"/>
      <c r="R283" s="28"/>
      <c r="S283" s="23"/>
      <c r="T283" s="23"/>
      <c r="U283" s="23"/>
      <c r="V283" s="23"/>
      <c r="W283" s="23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8"/>
      <c r="L284" s="28"/>
      <c r="M284" s="28"/>
      <c r="N284" s="28"/>
      <c r="O284" s="28"/>
      <c r="P284" s="28"/>
      <c r="Q284" s="28"/>
      <c r="R284" s="28"/>
      <c r="S284" s="23"/>
      <c r="T284" s="23"/>
      <c r="U284" s="23"/>
      <c r="V284" s="23"/>
      <c r="W284" s="23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8"/>
      <c r="L285" s="28"/>
      <c r="M285" s="28"/>
      <c r="N285" s="28"/>
      <c r="O285" s="28"/>
      <c r="P285" s="28"/>
      <c r="Q285" s="28"/>
      <c r="R285" s="28"/>
      <c r="S285" s="23"/>
      <c r="T285" s="23"/>
      <c r="U285" s="23"/>
      <c r="V285" s="23"/>
      <c r="W285" s="23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8"/>
      <c r="L286" s="28"/>
      <c r="M286" s="28"/>
      <c r="N286" s="28"/>
      <c r="O286" s="28"/>
      <c r="P286" s="28"/>
      <c r="Q286" s="28"/>
      <c r="R286" s="28"/>
      <c r="S286" s="23"/>
      <c r="T286" s="23"/>
      <c r="U286" s="23"/>
      <c r="V286" s="23"/>
      <c r="W286" s="23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8"/>
      <c r="L287" s="28"/>
      <c r="M287" s="28"/>
      <c r="N287" s="28"/>
      <c r="O287" s="28"/>
      <c r="P287" s="28"/>
      <c r="Q287" s="28"/>
      <c r="R287" s="28"/>
      <c r="S287" s="23"/>
      <c r="T287" s="23"/>
      <c r="U287" s="23"/>
      <c r="V287" s="23"/>
      <c r="W287" s="23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8"/>
      <c r="L288" s="28"/>
      <c r="M288" s="28"/>
      <c r="N288" s="28"/>
      <c r="O288" s="28"/>
      <c r="P288" s="28"/>
      <c r="Q288" s="28"/>
      <c r="R288" s="28"/>
      <c r="S288" s="23"/>
      <c r="T288" s="23"/>
      <c r="U288" s="23"/>
      <c r="V288" s="23"/>
      <c r="W288" s="23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8"/>
      <c r="L289" s="28"/>
      <c r="M289" s="28"/>
      <c r="N289" s="28"/>
      <c r="O289" s="28"/>
      <c r="P289" s="28"/>
      <c r="Q289" s="28"/>
      <c r="R289" s="28"/>
      <c r="S289" s="23"/>
      <c r="T289" s="23"/>
      <c r="U289" s="23"/>
      <c r="V289" s="23"/>
      <c r="W289" s="23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8"/>
      <c r="L290" s="28"/>
      <c r="M290" s="28"/>
      <c r="N290" s="28"/>
      <c r="O290" s="28"/>
      <c r="P290" s="28"/>
      <c r="Q290" s="28"/>
      <c r="R290" s="28"/>
      <c r="S290" s="23"/>
      <c r="T290" s="23"/>
      <c r="U290" s="23"/>
      <c r="V290" s="23"/>
      <c r="W290" s="23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8"/>
      <c r="L291" s="28"/>
      <c r="M291" s="28"/>
      <c r="N291" s="28"/>
      <c r="O291" s="28"/>
      <c r="P291" s="28"/>
      <c r="Q291" s="28"/>
      <c r="R291" s="28"/>
      <c r="S291" s="23"/>
      <c r="T291" s="23"/>
      <c r="U291" s="23"/>
      <c r="V291" s="23"/>
      <c r="W291" s="23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8"/>
      <c r="L292" s="28"/>
      <c r="M292" s="28"/>
      <c r="N292" s="28"/>
      <c r="O292" s="28"/>
      <c r="P292" s="28"/>
      <c r="Q292" s="28"/>
      <c r="R292" s="28"/>
      <c r="S292" s="23"/>
      <c r="T292" s="23"/>
      <c r="U292" s="23"/>
      <c r="V292" s="23"/>
      <c r="W292" s="23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8"/>
      <c r="L293" s="28"/>
      <c r="M293" s="28"/>
      <c r="N293" s="28"/>
      <c r="O293" s="28"/>
      <c r="P293" s="28"/>
      <c r="Q293" s="28"/>
      <c r="R293" s="28"/>
      <c r="S293" s="23"/>
      <c r="T293" s="23"/>
      <c r="U293" s="23"/>
      <c r="V293" s="23"/>
      <c r="W293" s="23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8"/>
      <c r="L294" s="28"/>
      <c r="M294" s="28"/>
      <c r="N294" s="28"/>
      <c r="O294" s="28"/>
      <c r="P294" s="28"/>
      <c r="Q294" s="28"/>
      <c r="R294" s="28"/>
      <c r="S294" s="23"/>
      <c r="T294" s="23"/>
      <c r="U294" s="23"/>
      <c r="V294" s="23"/>
      <c r="W294" s="23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8"/>
      <c r="L295" s="28"/>
      <c r="M295" s="28"/>
      <c r="N295" s="28"/>
      <c r="O295" s="28"/>
      <c r="P295" s="28"/>
      <c r="Q295" s="28"/>
      <c r="R295" s="28"/>
      <c r="S295" s="23"/>
      <c r="T295" s="23"/>
      <c r="U295" s="23"/>
      <c r="V295" s="23"/>
      <c r="W295" s="23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8"/>
      <c r="L296" s="28"/>
      <c r="M296" s="28"/>
      <c r="N296" s="28"/>
      <c r="O296" s="28"/>
      <c r="P296" s="28"/>
      <c r="Q296" s="28"/>
      <c r="R296" s="28"/>
      <c r="S296" s="23"/>
      <c r="T296" s="23"/>
      <c r="U296" s="23"/>
      <c r="V296" s="23"/>
      <c r="W296" s="23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8"/>
      <c r="L297" s="28"/>
      <c r="M297" s="28"/>
      <c r="N297" s="28"/>
      <c r="O297" s="28"/>
      <c r="P297" s="28"/>
      <c r="Q297" s="28"/>
      <c r="R297" s="28"/>
      <c r="S297" s="23"/>
      <c r="T297" s="23"/>
      <c r="U297" s="23"/>
      <c r="V297" s="23"/>
      <c r="W297" s="23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8"/>
      <c r="L298" s="28"/>
      <c r="M298" s="28"/>
      <c r="N298" s="28"/>
      <c r="O298" s="28"/>
      <c r="P298" s="28"/>
      <c r="Q298" s="28"/>
      <c r="R298" s="28"/>
      <c r="S298" s="23"/>
      <c r="T298" s="23"/>
      <c r="U298" s="23"/>
      <c r="V298" s="23"/>
      <c r="W298" s="23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8"/>
      <c r="L299" s="28"/>
      <c r="M299" s="28"/>
      <c r="N299" s="28"/>
      <c r="O299" s="28"/>
      <c r="P299" s="28"/>
      <c r="Q299" s="28"/>
      <c r="R299" s="28"/>
      <c r="S299" s="23"/>
      <c r="T299" s="23"/>
      <c r="U299" s="23"/>
      <c r="V299" s="23"/>
      <c r="W299" s="23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8"/>
      <c r="L300" s="28"/>
      <c r="M300" s="28"/>
      <c r="N300" s="28"/>
      <c r="O300" s="28"/>
      <c r="P300" s="28"/>
      <c r="Q300" s="28"/>
      <c r="R300" s="28"/>
      <c r="S300" s="23"/>
      <c r="T300" s="23"/>
      <c r="U300" s="23"/>
      <c r="V300" s="23"/>
      <c r="W300" s="23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8"/>
      <c r="L301" s="28"/>
      <c r="M301" s="28"/>
      <c r="N301" s="28"/>
      <c r="O301" s="28"/>
      <c r="P301" s="28"/>
      <c r="Q301" s="28"/>
      <c r="R301" s="28"/>
      <c r="S301" s="23"/>
      <c r="T301" s="23"/>
      <c r="U301" s="23"/>
      <c r="V301" s="23"/>
      <c r="W301" s="23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8"/>
      <c r="L302" s="28"/>
      <c r="M302" s="28"/>
      <c r="N302" s="28"/>
      <c r="O302" s="28"/>
      <c r="P302" s="28"/>
      <c r="Q302" s="28"/>
      <c r="R302" s="28"/>
      <c r="S302" s="23"/>
      <c r="T302" s="23"/>
      <c r="U302" s="23"/>
      <c r="V302" s="23"/>
      <c r="W302" s="23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8"/>
      <c r="L303" s="28"/>
      <c r="M303" s="28"/>
      <c r="N303" s="28"/>
      <c r="O303" s="28"/>
      <c r="P303" s="28"/>
      <c r="Q303" s="28"/>
      <c r="R303" s="28"/>
      <c r="S303" s="23"/>
      <c r="T303" s="23"/>
      <c r="U303" s="23"/>
      <c r="V303" s="23"/>
      <c r="W303" s="23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8"/>
      <c r="L304" s="28"/>
      <c r="M304" s="28"/>
      <c r="N304" s="28"/>
      <c r="O304" s="28"/>
      <c r="P304" s="28"/>
      <c r="Q304" s="28"/>
      <c r="R304" s="28"/>
      <c r="S304" s="23"/>
      <c r="T304" s="23"/>
      <c r="U304" s="23"/>
      <c r="V304" s="23"/>
      <c r="W304" s="23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8"/>
      <c r="L305" s="28"/>
      <c r="M305" s="28"/>
      <c r="N305" s="28"/>
      <c r="O305" s="28"/>
      <c r="P305" s="28"/>
      <c r="Q305" s="28"/>
      <c r="R305" s="28"/>
      <c r="S305" s="23"/>
      <c r="T305" s="23"/>
      <c r="U305" s="23"/>
      <c r="V305" s="23"/>
      <c r="W305" s="23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8"/>
      <c r="L306" s="28"/>
      <c r="M306" s="28"/>
      <c r="N306" s="28"/>
      <c r="O306" s="28"/>
      <c r="P306" s="28"/>
      <c r="Q306" s="28"/>
      <c r="R306" s="28"/>
      <c r="S306" s="23"/>
      <c r="T306" s="23"/>
      <c r="U306" s="23"/>
      <c r="V306" s="23"/>
      <c r="W306" s="23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8"/>
      <c r="L307" s="28"/>
      <c r="M307" s="28"/>
      <c r="N307" s="28"/>
      <c r="O307" s="28"/>
      <c r="P307" s="28"/>
      <c r="Q307" s="28"/>
      <c r="R307" s="28"/>
      <c r="S307" s="23"/>
      <c r="T307" s="23"/>
      <c r="U307" s="23"/>
      <c r="V307" s="23"/>
      <c r="W307" s="23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8"/>
      <c r="L308" s="28"/>
      <c r="M308" s="28"/>
      <c r="N308" s="28"/>
      <c r="O308" s="28"/>
      <c r="P308" s="28"/>
      <c r="Q308" s="28"/>
      <c r="R308" s="28"/>
      <c r="S308" s="23"/>
      <c r="T308" s="23"/>
      <c r="U308" s="23"/>
      <c r="V308" s="23"/>
      <c r="W308" s="23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8"/>
      <c r="L309" s="28"/>
      <c r="M309" s="28"/>
      <c r="N309" s="28"/>
      <c r="O309" s="28"/>
      <c r="P309" s="28"/>
      <c r="Q309" s="28"/>
      <c r="R309" s="28"/>
      <c r="S309" s="23"/>
      <c r="T309" s="23"/>
      <c r="U309" s="23"/>
      <c r="V309" s="23"/>
      <c r="W309" s="23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8"/>
      <c r="L310" s="28"/>
      <c r="M310" s="28"/>
      <c r="N310" s="28"/>
      <c r="O310" s="28"/>
      <c r="P310" s="28"/>
      <c r="Q310" s="28"/>
      <c r="R310" s="28"/>
      <c r="S310" s="23"/>
      <c r="T310" s="23"/>
      <c r="U310" s="23"/>
      <c r="V310" s="23"/>
      <c r="W310" s="23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8"/>
      <c r="L311" s="28"/>
      <c r="M311" s="28"/>
      <c r="N311" s="28"/>
      <c r="O311" s="28"/>
      <c r="P311" s="28"/>
      <c r="Q311" s="28"/>
      <c r="R311" s="28"/>
      <c r="S311" s="23"/>
      <c r="T311" s="23"/>
      <c r="U311" s="23"/>
      <c r="V311" s="23"/>
      <c r="W311" s="23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8"/>
      <c r="L312" s="28"/>
      <c r="M312" s="28"/>
      <c r="N312" s="28"/>
      <c r="O312" s="28"/>
      <c r="P312" s="28"/>
      <c r="Q312" s="28"/>
      <c r="R312" s="28"/>
      <c r="S312" s="23"/>
      <c r="T312" s="23"/>
      <c r="U312" s="23"/>
      <c r="V312" s="23"/>
      <c r="W312" s="23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8"/>
      <c r="L313" s="28"/>
      <c r="M313" s="28"/>
      <c r="N313" s="28"/>
      <c r="O313" s="28"/>
      <c r="P313" s="28"/>
      <c r="Q313" s="28"/>
      <c r="R313" s="28"/>
      <c r="S313" s="23"/>
      <c r="T313" s="23"/>
      <c r="U313" s="23"/>
      <c r="V313" s="23"/>
      <c r="W313" s="23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8"/>
      <c r="L314" s="28"/>
      <c r="M314" s="28"/>
      <c r="N314" s="28"/>
      <c r="O314" s="28"/>
      <c r="P314" s="28"/>
      <c r="Q314" s="28"/>
      <c r="R314" s="28"/>
      <c r="S314" s="23"/>
      <c r="T314" s="23"/>
      <c r="U314" s="23"/>
      <c r="V314" s="23"/>
      <c r="W314" s="23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8"/>
      <c r="L315" s="28"/>
      <c r="M315" s="28"/>
      <c r="N315" s="28"/>
      <c r="O315" s="28"/>
      <c r="P315" s="28"/>
      <c r="Q315" s="28"/>
      <c r="R315" s="28"/>
      <c r="S315" s="23"/>
      <c r="T315" s="23"/>
      <c r="U315" s="23"/>
      <c r="V315" s="23"/>
      <c r="W315" s="23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8"/>
      <c r="L316" s="28"/>
      <c r="M316" s="28"/>
      <c r="N316" s="28"/>
      <c r="O316" s="28"/>
      <c r="P316" s="28"/>
      <c r="Q316" s="28"/>
      <c r="R316" s="28"/>
      <c r="S316" s="23"/>
      <c r="T316" s="23"/>
      <c r="U316" s="23"/>
      <c r="V316" s="23"/>
      <c r="W316" s="23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8"/>
      <c r="L317" s="28"/>
      <c r="M317" s="28"/>
      <c r="N317" s="28"/>
      <c r="O317" s="28"/>
      <c r="P317" s="28"/>
      <c r="Q317" s="28"/>
      <c r="R317" s="28"/>
      <c r="S317" s="23"/>
      <c r="T317" s="23"/>
      <c r="U317" s="23"/>
      <c r="V317" s="23"/>
      <c r="W317" s="23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8"/>
      <c r="L318" s="28"/>
      <c r="M318" s="28"/>
      <c r="N318" s="28"/>
      <c r="O318" s="28"/>
      <c r="P318" s="28"/>
      <c r="Q318" s="28"/>
      <c r="R318" s="28"/>
      <c r="S318" s="23"/>
      <c r="T318" s="23"/>
      <c r="U318" s="23"/>
      <c r="V318" s="23"/>
      <c r="W318" s="23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8"/>
      <c r="L319" s="28"/>
      <c r="M319" s="28"/>
      <c r="N319" s="28"/>
      <c r="O319" s="28"/>
      <c r="P319" s="28"/>
      <c r="Q319" s="28"/>
      <c r="R319" s="28"/>
      <c r="S319" s="23"/>
      <c r="T319" s="23"/>
      <c r="U319" s="23"/>
      <c r="V319" s="23"/>
      <c r="W319" s="23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8"/>
      <c r="L320" s="28"/>
      <c r="M320" s="28"/>
      <c r="N320" s="28"/>
      <c r="O320" s="28"/>
      <c r="P320" s="28"/>
      <c r="Q320" s="28"/>
      <c r="R320" s="28"/>
      <c r="S320" s="23"/>
      <c r="T320" s="23"/>
      <c r="U320" s="23"/>
      <c r="V320" s="23"/>
      <c r="W320" s="23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8"/>
      <c r="L321" s="28"/>
      <c r="M321" s="28"/>
      <c r="N321" s="28"/>
      <c r="O321" s="28"/>
      <c r="P321" s="28"/>
      <c r="Q321" s="28"/>
      <c r="R321" s="28"/>
      <c r="S321" s="23"/>
      <c r="T321" s="23"/>
      <c r="U321" s="23"/>
      <c r="V321" s="23"/>
      <c r="W321" s="23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8"/>
      <c r="L322" s="28"/>
      <c r="M322" s="28"/>
      <c r="N322" s="28"/>
      <c r="O322" s="28"/>
      <c r="P322" s="28"/>
      <c r="Q322" s="28"/>
      <c r="R322" s="28"/>
      <c r="S322" s="23"/>
      <c r="T322" s="23"/>
      <c r="U322" s="23"/>
      <c r="V322" s="23"/>
      <c r="W322" s="23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8"/>
      <c r="L323" s="28"/>
      <c r="M323" s="28"/>
      <c r="N323" s="28"/>
      <c r="O323" s="28"/>
      <c r="P323" s="28"/>
      <c r="Q323" s="28"/>
      <c r="R323" s="28"/>
      <c r="S323" s="23"/>
      <c r="T323" s="23"/>
      <c r="U323" s="23"/>
      <c r="V323" s="23"/>
      <c r="W323" s="23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8"/>
      <c r="L324" s="28"/>
      <c r="M324" s="28"/>
      <c r="N324" s="28"/>
      <c r="O324" s="28"/>
      <c r="P324" s="28"/>
      <c r="Q324" s="28"/>
      <c r="R324" s="28"/>
      <c r="S324" s="23"/>
      <c r="T324" s="23"/>
      <c r="U324" s="23"/>
      <c r="V324" s="23"/>
      <c r="W324" s="23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8"/>
      <c r="L325" s="28"/>
      <c r="M325" s="28"/>
      <c r="N325" s="28"/>
      <c r="O325" s="28"/>
      <c r="P325" s="28"/>
      <c r="Q325" s="28"/>
      <c r="R325" s="28"/>
      <c r="S325" s="23"/>
      <c r="T325" s="23"/>
      <c r="U325" s="23"/>
      <c r="V325" s="23"/>
      <c r="W325" s="23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8"/>
      <c r="L326" s="28"/>
      <c r="M326" s="28"/>
      <c r="N326" s="28"/>
      <c r="O326" s="28"/>
      <c r="P326" s="28"/>
      <c r="Q326" s="28"/>
      <c r="R326" s="28"/>
      <c r="S326" s="23"/>
      <c r="T326" s="23"/>
      <c r="U326" s="23"/>
      <c r="V326" s="23"/>
      <c r="W326" s="23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8"/>
      <c r="L327" s="28"/>
      <c r="M327" s="28"/>
      <c r="N327" s="28"/>
      <c r="O327" s="28"/>
      <c r="P327" s="28"/>
      <c r="Q327" s="28"/>
      <c r="R327" s="28"/>
      <c r="S327" s="23"/>
      <c r="T327" s="23"/>
      <c r="U327" s="23"/>
      <c r="V327" s="23"/>
      <c r="W327" s="23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8"/>
      <c r="L328" s="28"/>
      <c r="M328" s="28"/>
      <c r="N328" s="28"/>
      <c r="O328" s="28"/>
      <c r="P328" s="28"/>
      <c r="Q328" s="28"/>
      <c r="R328" s="28"/>
      <c r="S328" s="23"/>
      <c r="T328" s="23"/>
      <c r="U328" s="23"/>
      <c r="V328" s="23"/>
      <c r="W328" s="23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8"/>
      <c r="L329" s="28"/>
      <c r="M329" s="28"/>
      <c r="N329" s="28"/>
      <c r="O329" s="28"/>
      <c r="P329" s="28"/>
      <c r="Q329" s="28"/>
      <c r="R329" s="28"/>
      <c r="S329" s="23"/>
      <c r="T329" s="23"/>
      <c r="U329" s="23"/>
      <c r="V329" s="23"/>
      <c r="W329" s="23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8"/>
      <c r="L330" s="28"/>
      <c r="M330" s="28"/>
      <c r="N330" s="28"/>
      <c r="O330" s="28"/>
      <c r="P330" s="28"/>
      <c r="Q330" s="28"/>
      <c r="R330" s="28"/>
      <c r="S330" s="23"/>
      <c r="T330" s="23"/>
      <c r="U330" s="23"/>
      <c r="V330" s="23"/>
      <c r="W330" s="23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8"/>
      <c r="L331" s="28"/>
      <c r="M331" s="28"/>
      <c r="N331" s="28"/>
      <c r="O331" s="28"/>
      <c r="P331" s="28"/>
      <c r="Q331" s="28"/>
      <c r="R331" s="28"/>
      <c r="S331" s="23"/>
      <c r="T331" s="23"/>
      <c r="U331" s="23"/>
      <c r="V331" s="23"/>
      <c r="W331" s="23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8"/>
      <c r="L332" s="28"/>
      <c r="M332" s="28"/>
      <c r="N332" s="28"/>
      <c r="O332" s="28"/>
      <c r="P332" s="28"/>
      <c r="Q332" s="28"/>
      <c r="R332" s="28"/>
      <c r="S332" s="23"/>
      <c r="T332" s="23"/>
      <c r="U332" s="23"/>
      <c r="V332" s="23"/>
      <c r="W332" s="23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8"/>
      <c r="L333" s="28"/>
      <c r="M333" s="28"/>
      <c r="N333" s="28"/>
      <c r="O333" s="28"/>
      <c r="P333" s="28"/>
      <c r="Q333" s="28"/>
      <c r="R333" s="28"/>
      <c r="S333" s="23"/>
      <c r="T333" s="23"/>
      <c r="U333" s="23"/>
      <c r="V333" s="23"/>
      <c r="W333" s="23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8"/>
      <c r="L334" s="28"/>
      <c r="M334" s="28"/>
      <c r="N334" s="28"/>
      <c r="O334" s="28"/>
      <c r="P334" s="28"/>
      <c r="Q334" s="28"/>
      <c r="R334" s="28"/>
      <c r="S334" s="23"/>
      <c r="T334" s="23"/>
      <c r="U334" s="23"/>
      <c r="V334" s="23"/>
      <c r="W334" s="23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  <c r="P335" s="28"/>
      <c r="Q335" s="28"/>
      <c r="R335" s="28"/>
      <c r="S335" s="23"/>
      <c r="T335" s="23"/>
      <c r="U335" s="23"/>
      <c r="V335" s="23"/>
      <c r="W335" s="23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  <c r="P336" s="28"/>
      <c r="Q336" s="28"/>
      <c r="R336" s="28"/>
      <c r="S336" s="23"/>
      <c r="T336" s="23"/>
      <c r="U336" s="23"/>
      <c r="V336" s="23"/>
      <c r="W336" s="23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8"/>
      <c r="L337" s="28"/>
      <c r="M337" s="28"/>
      <c r="N337" s="28"/>
      <c r="O337" s="28"/>
      <c r="P337" s="28"/>
      <c r="Q337" s="28"/>
      <c r="R337" s="28"/>
      <c r="S337" s="23"/>
      <c r="T337" s="23"/>
      <c r="U337" s="23"/>
      <c r="V337" s="23"/>
      <c r="W337" s="23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8"/>
      <c r="L338" s="28"/>
      <c r="M338" s="28"/>
      <c r="N338" s="28"/>
      <c r="O338" s="28"/>
      <c r="P338" s="28"/>
      <c r="Q338" s="28"/>
      <c r="R338" s="28"/>
      <c r="S338" s="23"/>
      <c r="T338" s="23"/>
      <c r="U338" s="23"/>
      <c r="V338" s="23"/>
      <c r="W338" s="23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8"/>
      <c r="L339" s="28"/>
      <c r="M339" s="28"/>
      <c r="N339" s="28"/>
      <c r="O339" s="28"/>
      <c r="P339" s="28"/>
      <c r="Q339" s="28"/>
      <c r="R339" s="28"/>
      <c r="S339" s="23"/>
      <c r="T339" s="23"/>
      <c r="U339" s="23"/>
      <c r="V339" s="23"/>
      <c r="W339" s="23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8"/>
      <c r="L340" s="28"/>
      <c r="M340" s="28"/>
      <c r="N340" s="28"/>
      <c r="O340" s="28"/>
      <c r="P340" s="28"/>
      <c r="Q340" s="28"/>
      <c r="R340" s="28"/>
      <c r="S340" s="23"/>
      <c r="T340" s="23"/>
      <c r="U340" s="23"/>
      <c r="V340" s="23"/>
      <c r="W340" s="23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8"/>
      <c r="L341" s="28"/>
      <c r="M341" s="28"/>
      <c r="N341" s="28"/>
      <c r="O341" s="28"/>
      <c r="P341" s="28"/>
      <c r="Q341" s="28"/>
      <c r="R341" s="28"/>
      <c r="S341" s="23"/>
      <c r="T341" s="23"/>
      <c r="U341" s="23"/>
      <c r="V341" s="23"/>
      <c r="W341" s="23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8"/>
      <c r="L342" s="28"/>
      <c r="M342" s="28"/>
      <c r="N342" s="28"/>
      <c r="O342" s="28"/>
      <c r="P342" s="28"/>
      <c r="Q342" s="28"/>
      <c r="R342" s="28"/>
      <c r="S342" s="23"/>
      <c r="T342" s="23"/>
      <c r="U342" s="23"/>
      <c r="V342" s="23"/>
      <c r="W342" s="23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8"/>
      <c r="L343" s="28"/>
      <c r="M343" s="28"/>
      <c r="N343" s="28"/>
      <c r="O343" s="28"/>
      <c r="P343" s="28"/>
      <c r="Q343" s="28"/>
      <c r="R343" s="28"/>
      <c r="S343" s="23"/>
      <c r="T343" s="23"/>
      <c r="U343" s="23"/>
      <c r="V343" s="23"/>
      <c r="W343" s="23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8"/>
      <c r="L344" s="28"/>
      <c r="M344" s="28"/>
      <c r="N344" s="28"/>
      <c r="O344" s="28"/>
      <c r="P344" s="28"/>
      <c r="Q344" s="28"/>
      <c r="R344" s="28"/>
      <c r="S344" s="23"/>
      <c r="T344" s="23"/>
      <c r="U344" s="23"/>
      <c r="V344" s="23"/>
      <c r="W344" s="23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8"/>
      <c r="L345" s="28"/>
      <c r="M345" s="28"/>
      <c r="N345" s="28"/>
      <c r="O345" s="28"/>
      <c r="P345" s="28"/>
      <c r="Q345" s="28"/>
      <c r="R345" s="28"/>
      <c r="S345" s="23"/>
      <c r="T345" s="23"/>
      <c r="U345" s="23"/>
      <c r="V345" s="23"/>
      <c r="W345" s="23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8"/>
      <c r="L346" s="28"/>
      <c r="M346" s="28"/>
      <c r="N346" s="28"/>
      <c r="O346" s="28"/>
      <c r="P346" s="28"/>
      <c r="Q346" s="28"/>
      <c r="R346" s="28"/>
      <c r="S346" s="23"/>
      <c r="T346" s="23"/>
      <c r="U346" s="23"/>
      <c r="V346" s="23"/>
      <c r="W346" s="23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8"/>
      <c r="L347" s="28"/>
      <c r="M347" s="28"/>
      <c r="N347" s="28"/>
      <c r="O347" s="28"/>
      <c r="P347" s="28"/>
      <c r="Q347" s="28"/>
      <c r="R347" s="28"/>
      <c r="S347" s="23"/>
      <c r="T347" s="23"/>
      <c r="U347" s="23"/>
      <c r="V347" s="23"/>
      <c r="W347" s="23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8"/>
      <c r="L348" s="28"/>
      <c r="M348" s="28"/>
      <c r="N348" s="28"/>
      <c r="O348" s="28"/>
      <c r="P348" s="28"/>
      <c r="Q348" s="28"/>
      <c r="R348" s="28"/>
      <c r="S348" s="23"/>
      <c r="T348" s="23"/>
      <c r="U348" s="23"/>
      <c r="V348" s="23"/>
      <c r="W348" s="23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8"/>
      <c r="L349" s="28"/>
      <c r="M349" s="28"/>
      <c r="N349" s="28"/>
      <c r="O349" s="28"/>
      <c r="P349" s="28"/>
      <c r="Q349" s="28"/>
      <c r="R349" s="28"/>
      <c r="S349" s="23"/>
      <c r="T349" s="23"/>
      <c r="U349" s="23"/>
      <c r="V349" s="23"/>
      <c r="W349" s="23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8"/>
      <c r="L350" s="28"/>
      <c r="M350" s="28"/>
      <c r="N350" s="28"/>
      <c r="O350" s="28"/>
      <c r="P350" s="28"/>
      <c r="Q350" s="28"/>
      <c r="R350" s="28"/>
      <c r="S350" s="23"/>
      <c r="T350" s="23"/>
      <c r="U350" s="23"/>
      <c r="V350" s="23"/>
      <c r="W350" s="23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8"/>
      <c r="L351" s="28"/>
      <c r="M351" s="28"/>
      <c r="N351" s="28"/>
      <c r="O351" s="28"/>
      <c r="P351" s="28"/>
      <c r="Q351" s="28"/>
      <c r="R351" s="28"/>
      <c r="S351" s="23"/>
      <c r="T351" s="23"/>
      <c r="U351" s="23"/>
      <c r="V351" s="23"/>
      <c r="W351" s="23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8"/>
      <c r="L352" s="28"/>
      <c r="M352" s="28"/>
      <c r="N352" s="28"/>
      <c r="O352" s="28"/>
      <c r="P352" s="28"/>
      <c r="Q352" s="28"/>
      <c r="R352" s="28"/>
      <c r="S352" s="23"/>
      <c r="T352" s="23"/>
      <c r="U352" s="23"/>
      <c r="V352" s="23"/>
      <c r="W352" s="23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8"/>
      <c r="L353" s="28"/>
      <c r="M353" s="28"/>
      <c r="N353" s="28"/>
      <c r="O353" s="28"/>
      <c r="P353" s="28"/>
      <c r="Q353" s="28"/>
      <c r="R353" s="28"/>
      <c r="S353" s="23"/>
      <c r="T353" s="23"/>
      <c r="U353" s="23"/>
      <c r="V353" s="23"/>
      <c r="W353" s="23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8"/>
      <c r="L354" s="28"/>
      <c r="M354" s="28"/>
      <c r="N354" s="28"/>
      <c r="O354" s="28"/>
      <c r="P354" s="28"/>
      <c r="Q354" s="28"/>
      <c r="R354" s="28"/>
      <c r="S354" s="23"/>
      <c r="T354" s="23"/>
      <c r="U354" s="23"/>
      <c r="V354" s="23"/>
      <c r="W354" s="23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8"/>
      <c r="L355" s="28"/>
      <c r="M355" s="28"/>
      <c r="N355" s="28"/>
      <c r="O355" s="28"/>
      <c r="P355" s="28"/>
      <c r="Q355" s="28"/>
      <c r="R355" s="28"/>
      <c r="S355" s="23"/>
      <c r="T355" s="23"/>
      <c r="U355" s="23"/>
      <c r="V355" s="23"/>
      <c r="W355" s="23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8"/>
      <c r="L356" s="28"/>
      <c r="M356" s="28"/>
      <c r="N356" s="28"/>
      <c r="O356" s="28"/>
      <c r="P356" s="28"/>
      <c r="Q356" s="28"/>
      <c r="R356" s="28"/>
      <c r="S356" s="23"/>
      <c r="T356" s="23"/>
      <c r="U356" s="23"/>
      <c r="V356" s="23"/>
      <c r="W356" s="23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8"/>
      <c r="L357" s="28"/>
      <c r="M357" s="28"/>
      <c r="N357" s="28"/>
      <c r="O357" s="28"/>
      <c r="P357" s="28"/>
      <c r="Q357" s="28"/>
      <c r="R357" s="28"/>
      <c r="S357" s="23"/>
      <c r="T357" s="23"/>
      <c r="U357" s="23"/>
      <c r="V357" s="23"/>
      <c r="W357" s="23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8"/>
      <c r="L358" s="28"/>
      <c r="M358" s="28"/>
      <c r="N358" s="28"/>
      <c r="O358" s="28"/>
      <c r="P358" s="28"/>
      <c r="Q358" s="28"/>
      <c r="R358" s="28"/>
      <c r="S358" s="23"/>
      <c r="T358" s="23"/>
      <c r="U358" s="23"/>
      <c r="V358" s="23"/>
      <c r="W358" s="23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8"/>
      <c r="L359" s="28"/>
      <c r="M359" s="28"/>
      <c r="N359" s="28"/>
      <c r="O359" s="28"/>
      <c r="P359" s="28"/>
      <c r="Q359" s="28"/>
      <c r="R359" s="28"/>
      <c r="S359" s="23"/>
      <c r="T359" s="23"/>
      <c r="U359" s="23"/>
      <c r="V359" s="23"/>
      <c r="W359" s="23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8"/>
      <c r="L360" s="28"/>
      <c r="M360" s="28"/>
      <c r="N360" s="28"/>
      <c r="O360" s="28"/>
      <c r="P360" s="28"/>
      <c r="Q360" s="28"/>
      <c r="R360" s="28"/>
      <c r="S360" s="23"/>
      <c r="T360" s="23"/>
      <c r="U360" s="23"/>
      <c r="V360" s="23"/>
      <c r="W360" s="23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8"/>
      <c r="L361" s="28"/>
      <c r="M361" s="28"/>
      <c r="N361" s="28"/>
      <c r="O361" s="28"/>
      <c r="P361" s="28"/>
      <c r="Q361" s="28"/>
      <c r="R361" s="28"/>
      <c r="S361" s="23"/>
      <c r="T361" s="23"/>
      <c r="U361" s="23"/>
      <c r="V361" s="23"/>
      <c r="W361" s="23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8"/>
      <c r="L362" s="28"/>
      <c r="M362" s="28"/>
      <c r="N362" s="28"/>
      <c r="O362" s="28"/>
      <c r="P362" s="28"/>
      <c r="Q362" s="28"/>
      <c r="R362" s="28"/>
      <c r="S362" s="23"/>
      <c r="T362" s="23"/>
      <c r="U362" s="23"/>
      <c r="V362" s="23"/>
      <c r="W362" s="23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8"/>
      <c r="L363" s="28"/>
      <c r="M363" s="28"/>
      <c r="N363" s="28"/>
      <c r="O363" s="28"/>
      <c r="P363" s="28"/>
      <c r="Q363" s="28"/>
      <c r="R363" s="28"/>
      <c r="S363" s="23"/>
      <c r="T363" s="23"/>
      <c r="U363" s="23"/>
      <c r="V363" s="23"/>
      <c r="W363" s="23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8"/>
      <c r="L364" s="28"/>
      <c r="M364" s="28"/>
      <c r="N364" s="28"/>
      <c r="O364" s="28"/>
      <c r="P364" s="28"/>
      <c r="Q364" s="28"/>
      <c r="R364" s="28"/>
      <c r="S364" s="23"/>
      <c r="T364" s="23"/>
      <c r="U364" s="23"/>
      <c r="V364" s="23"/>
      <c r="W364" s="23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8"/>
      <c r="L365" s="28"/>
      <c r="M365" s="28"/>
      <c r="N365" s="28"/>
      <c r="O365" s="28"/>
      <c r="P365" s="28"/>
      <c r="Q365" s="28"/>
      <c r="R365" s="28"/>
      <c r="S365" s="23"/>
      <c r="T365" s="23"/>
      <c r="U365" s="23"/>
      <c r="V365" s="23"/>
      <c r="W365" s="23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8"/>
      <c r="L366" s="28"/>
      <c r="M366" s="28"/>
      <c r="N366" s="28"/>
      <c r="O366" s="28"/>
      <c r="P366" s="28"/>
      <c r="Q366" s="28"/>
      <c r="R366" s="28"/>
      <c r="S366" s="23"/>
      <c r="T366" s="23"/>
      <c r="U366" s="23"/>
      <c r="V366" s="23"/>
      <c r="W366" s="23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8"/>
      <c r="L367" s="28"/>
      <c r="M367" s="28"/>
      <c r="N367" s="28"/>
      <c r="O367" s="28"/>
      <c r="P367" s="28"/>
      <c r="Q367" s="28"/>
      <c r="R367" s="28"/>
      <c r="S367" s="23"/>
      <c r="T367" s="23"/>
      <c r="U367" s="23"/>
      <c r="V367" s="23"/>
      <c r="W367" s="23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8"/>
      <c r="L368" s="28"/>
      <c r="M368" s="28"/>
      <c r="N368" s="28"/>
      <c r="O368" s="28"/>
      <c r="P368" s="28"/>
      <c r="Q368" s="28"/>
      <c r="R368" s="28"/>
      <c r="S368" s="23"/>
      <c r="T368" s="23"/>
      <c r="U368" s="23"/>
      <c r="V368" s="23"/>
      <c r="W368" s="23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8"/>
      <c r="L369" s="28"/>
      <c r="M369" s="28"/>
      <c r="N369" s="28"/>
      <c r="O369" s="28"/>
      <c r="P369" s="28"/>
      <c r="Q369" s="28"/>
      <c r="R369" s="28"/>
      <c r="S369" s="23"/>
      <c r="T369" s="23"/>
      <c r="U369" s="23"/>
      <c r="V369" s="23"/>
      <c r="W369" s="23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8"/>
      <c r="L370" s="28"/>
      <c r="M370" s="28"/>
      <c r="N370" s="28"/>
      <c r="O370" s="28"/>
      <c r="P370" s="28"/>
      <c r="Q370" s="28"/>
      <c r="R370" s="28"/>
      <c r="S370" s="23"/>
      <c r="T370" s="23"/>
      <c r="U370" s="23"/>
      <c r="V370" s="23"/>
      <c r="W370" s="23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8"/>
      <c r="L371" s="28"/>
      <c r="M371" s="28"/>
      <c r="N371" s="28"/>
      <c r="O371" s="28"/>
      <c r="P371" s="28"/>
      <c r="Q371" s="28"/>
      <c r="R371" s="28"/>
      <c r="S371" s="23"/>
      <c r="T371" s="23"/>
      <c r="U371" s="23"/>
      <c r="V371" s="23"/>
      <c r="W371" s="23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8"/>
      <c r="L372" s="28"/>
      <c r="M372" s="28"/>
      <c r="N372" s="28"/>
      <c r="O372" s="28"/>
      <c r="P372" s="28"/>
      <c r="Q372" s="28"/>
      <c r="R372" s="28"/>
      <c r="S372" s="23"/>
      <c r="T372" s="23"/>
      <c r="U372" s="23"/>
      <c r="V372" s="23"/>
      <c r="W372" s="23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8"/>
      <c r="L373" s="28"/>
      <c r="M373" s="28"/>
      <c r="N373" s="28"/>
      <c r="O373" s="28"/>
      <c r="P373" s="28"/>
      <c r="Q373" s="28"/>
      <c r="R373" s="28"/>
      <c r="S373" s="23"/>
      <c r="T373" s="23"/>
      <c r="U373" s="23"/>
      <c r="V373" s="23"/>
      <c r="W373" s="23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8"/>
      <c r="L374" s="28"/>
      <c r="M374" s="28"/>
      <c r="N374" s="28"/>
      <c r="O374" s="28"/>
      <c r="P374" s="28"/>
      <c r="Q374" s="28"/>
      <c r="R374" s="28"/>
      <c r="S374" s="23"/>
      <c r="T374" s="23"/>
      <c r="U374" s="23"/>
      <c r="V374" s="23"/>
      <c r="W374" s="23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8"/>
      <c r="L375" s="28"/>
      <c r="M375" s="28"/>
      <c r="N375" s="28"/>
      <c r="O375" s="28"/>
      <c r="P375" s="28"/>
      <c r="Q375" s="28"/>
      <c r="R375" s="28"/>
      <c r="S375" s="23"/>
      <c r="T375" s="23"/>
      <c r="U375" s="23"/>
      <c r="V375" s="23"/>
      <c r="W375" s="23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8"/>
      <c r="L376" s="28"/>
      <c r="M376" s="28"/>
      <c r="N376" s="28"/>
      <c r="O376" s="28"/>
      <c r="P376" s="28"/>
      <c r="Q376" s="28"/>
      <c r="R376" s="28"/>
      <c r="S376" s="23"/>
      <c r="T376" s="23"/>
      <c r="U376" s="23"/>
      <c r="V376" s="23"/>
      <c r="W376" s="23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8"/>
      <c r="L377" s="28"/>
      <c r="M377" s="28"/>
      <c r="N377" s="28"/>
      <c r="O377" s="28"/>
      <c r="P377" s="28"/>
      <c r="Q377" s="28"/>
      <c r="R377" s="28"/>
      <c r="S377" s="23"/>
      <c r="T377" s="23"/>
      <c r="U377" s="23"/>
      <c r="V377" s="23"/>
      <c r="W377" s="23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8"/>
      <c r="L378" s="28"/>
      <c r="M378" s="28"/>
      <c r="N378" s="28"/>
      <c r="O378" s="28"/>
      <c r="P378" s="28"/>
      <c r="Q378" s="28"/>
      <c r="R378" s="28"/>
      <c r="S378" s="23"/>
      <c r="T378" s="23"/>
      <c r="U378" s="23"/>
      <c r="V378" s="23"/>
      <c r="W378" s="23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3"/>
      <c r="T379" s="23"/>
      <c r="U379" s="23"/>
      <c r="V379" s="23"/>
      <c r="W379" s="23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3"/>
      <c r="T380" s="23"/>
      <c r="U380" s="23"/>
      <c r="V380" s="23"/>
      <c r="W380" s="23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3"/>
      <c r="T381" s="23"/>
      <c r="U381" s="23"/>
      <c r="V381" s="23"/>
      <c r="W381" s="23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3"/>
      <c r="T382" s="23"/>
      <c r="U382" s="23"/>
      <c r="V382" s="23"/>
      <c r="W382" s="23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3"/>
      <c r="T383" s="23"/>
      <c r="U383" s="23"/>
      <c r="V383" s="23"/>
      <c r="W383" s="23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3"/>
      <c r="T384" s="23"/>
      <c r="U384" s="23"/>
      <c r="V384" s="23"/>
      <c r="W384" s="23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3"/>
      <c r="T385" s="23"/>
      <c r="U385" s="23"/>
      <c r="V385" s="23"/>
      <c r="W385" s="23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3"/>
      <c r="T386" s="23"/>
      <c r="U386" s="23"/>
      <c r="V386" s="23"/>
      <c r="W386" s="23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3"/>
      <c r="T387" s="23"/>
      <c r="U387" s="23"/>
      <c r="V387" s="23"/>
      <c r="W387" s="23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3"/>
      <c r="T388" s="23"/>
      <c r="U388" s="23"/>
      <c r="V388" s="23"/>
      <c r="W388" s="23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3"/>
      <c r="T389" s="23"/>
      <c r="U389" s="23"/>
      <c r="V389" s="23"/>
      <c r="W389" s="23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3"/>
      <c r="T390" s="23"/>
      <c r="U390" s="23"/>
      <c r="V390" s="23"/>
      <c r="W390" s="23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3"/>
      <c r="T391" s="23"/>
      <c r="U391" s="23"/>
      <c r="V391" s="23"/>
      <c r="W391" s="23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3"/>
      <c r="T392" s="23"/>
      <c r="U392" s="23"/>
      <c r="V392" s="23"/>
      <c r="W392" s="23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  <c r="S393" s="23"/>
      <c r="T393" s="23"/>
      <c r="U393" s="23"/>
      <c r="V393" s="23"/>
      <c r="W393" s="23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  <c r="S394" s="23"/>
      <c r="T394" s="23"/>
      <c r="U394" s="23"/>
      <c r="V394" s="23"/>
      <c r="W394" s="23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  <c r="S395" s="23"/>
      <c r="T395" s="23"/>
      <c r="U395" s="23"/>
      <c r="V395" s="23"/>
      <c r="W395" s="23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  <c r="S396" s="23"/>
      <c r="T396" s="23"/>
      <c r="U396" s="23"/>
      <c r="V396" s="23"/>
      <c r="W396" s="23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  <c r="S397" s="23"/>
      <c r="T397" s="23"/>
      <c r="U397" s="23"/>
      <c r="V397" s="23"/>
      <c r="W397" s="23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  <c r="S398" s="23"/>
      <c r="T398" s="23"/>
      <c r="U398" s="23"/>
      <c r="V398" s="23"/>
      <c r="W398" s="23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  <c r="S399" s="23"/>
      <c r="T399" s="23"/>
      <c r="U399" s="23"/>
      <c r="V399" s="23"/>
      <c r="W399" s="23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  <c r="S400" s="23"/>
      <c r="T400" s="23"/>
      <c r="U400" s="23"/>
      <c r="V400" s="23"/>
      <c r="W400" s="23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  <c r="S401" s="23"/>
      <c r="T401" s="23"/>
      <c r="U401" s="23"/>
      <c r="V401" s="23"/>
      <c r="W401" s="23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  <c r="S402" s="23"/>
      <c r="T402" s="23"/>
      <c r="U402" s="23"/>
      <c r="V402" s="23"/>
      <c r="W402" s="23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  <c r="S403" s="23"/>
      <c r="T403" s="23"/>
      <c r="U403" s="23"/>
      <c r="V403" s="23"/>
      <c r="W403" s="23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  <c r="S404" s="23"/>
      <c r="T404" s="23"/>
      <c r="U404" s="23"/>
      <c r="V404" s="23"/>
      <c r="W404" s="23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  <c r="S405" s="23"/>
      <c r="T405" s="23"/>
      <c r="U405" s="23"/>
      <c r="V405" s="23"/>
      <c r="W405" s="23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  <c r="S406" s="23"/>
      <c r="T406" s="23"/>
      <c r="U406" s="23"/>
      <c r="V406" s="23"/>
      <c r="W406" s="23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  <c r="S407" s="23"/>
      <c r="T407" s="23"/>
      <c r="U407" s="23"/>
      <c r="V407" s="23"/>
      <c r="W407" s="23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  <c r="S408" s="23"/>
      <c r="T408" s="23"/>
      <c r="U408" s="23"/>
      <c r="V408" s="23"/>
      <c r="W408" s="23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  <c r="S409" s="23"/>
      <c r="T409" s="23"/>
      <c r="U409" s="23"/>
      <c r="V409" s="23"/>
      <c r="W409" s="23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  <c r="S410" s="23"/>
      <c r="T410" s="23"/>
      <c r="U410" s="23"/>
      <c r="V410" s="23"/>
      <c r="W410" s="23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  <c r="S411" s="23"/>
      <c r="T411" s="23"/>
      <c r="U411" s="23"/>
      <c r="V411" s="23"/>
      <c r="W411" s="23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  <c r="S412" s="23"/>
      <c r="T412" s="23"/>
      <c r="U412" s="23"/>
      <c r="V412" s="23"/>
      <c r="W412" s="23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  <c r="S413" s="23"/>
      <c r="T413" s="23"/>
      <c r="U413" s="23"/>
      <c r="V413" s="23"/>
      <c r="W413" s="23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  <c r="S414" s="23"/>
      <c r="T414" s="23"/>
      <c r="U414" s="23"/>
      <c r="V414" s="23"/>
      <c r="W414" s="23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  <c r="S415" s="23"/>
      <c r="T415" s="23"/>
      <c r="U415" s="23"/>
      <c r="V415" s="23"/>
      <c r="W415" s="23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  <c r="S416" s="23"/>
      <c r="T416" s="23"/>
      <c r="U416" s="23"/>
      <c r="V416" s="23"/>
      <c r="W416" s="23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  <c r="S417" s="23"/>
      <c r="T417" s="23"/>
      <c r="U417" s="23"/>
      <c r="V417" s="23"/>
      <c r="W417" s="23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  <c r="S418" s="23"/>
      <c r="T418" s="23"/>
      <c r="U418" s="23"/>
      <c r="V418" s="23"/>
      <c r="W418" s="23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  <c r="S419" s="23"/>
      <c r="T419" s="23"/>
      <c r="U419" s="23"/>
      <c r="V419" s="23"/>
      <c r="W419" s="23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  <c r="S420" s="23"/>
      <c r="T420" s="23"/>
      <c r="U420" s="23"/>
      <c r="V420" s="23"/>
      <c r="W420" s="23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  <c r="S421" s="23"/>
      <c r="T421" s="23"/>
      <c r="U421" s="23"/>
      <c r="V421" s="23"/>
      <c r="W421" s="23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  <c r="S422" s="23"/>
      <c r="T422" s="23"/>
      <c r="U422" s="23"/>
      <c r="V422" s="23"/>
      <c r="W422" s="23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  <c r="S423" s="23"/>
      <c r="T423" s="23"/>
      <c r="U423" s="23"/>
      <c r="V423" s="23"/>
      <c r="W423" s="23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  <c r="S424" s="23"/>
      <c r="T424" s="23"/>
      <c r="U424" s="23"/>
      <c r="V424" s="23"/>
      <c r="W424" s="23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  <c r="S425" s="23"/>
      <c r="T425" s="23"/>
      <c r="U425" s="23"/>
      <c r="V425" s="23"/>
      <c r="W425" s="23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  <c r="S426" s="23"/>
      <c r="T426" s="23"/>
      <c r="U426" s="23"/>
      <c r="V426" s="23"/>
      <c r="W426" s="23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  <c r="S427" s="23"/>
      <c r="T427" s="23"/>
      <c r="U427" s="23"/>
      <c r="V427" s="23"/>
      <c r="W427" s="23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  <c r="S428" s="23"/>
      <c r="T428" s="23"/>
      <c r="U428" s="23"/>
      <c r="V428" s="23"/>
      <c r="W428" s="23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  <c r="S429" s="23"/>
      <c r="T429" s="23"/>
      <c r="U429" s="23"/>
      <c r="V429" s="23"/>
      <c r="W429" s="23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  <c r="S430" s="23"/>
      <c r="T430" s="23"/>
      <c r="U430" s="23"/>
      <c r="V430" s="23"/>
      <c r="W430" s="23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  <c r="S431" s="23"/>
      <c r="T431" s="23"/>
      <c r="U431" s="23"/>
      <c r="V431" s="23"/>
      <c r="W431" s="23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  <c r="S432" s="23"/>
      <c r="T432" s="23"/>
      <c r="U432" s="23"/>
      <c r="V432" s="23"/>
      <c r="W432" s="23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  <c r="S433" s="23"/>
      <c r="T433" s="23"/>
      <c r="U433" s="23"/>
      <c r="V433" s="23"/>
      <c r="W433" s="23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  <c r="S434" s="23"/>
      <c r="T434" s="23"/>
      <c r="U434" s="23"/>
      <c r="V434" s="23"/>
      <c r="W434" s="23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  <c r="S435" s="23"/>
      <c r="T435" s="23"/>
      <c r="U435" s="23"/>
      <c r="V435" s="23"/>
      <c r="W435" s="23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  <c r="S436" s="23"/>
      <c r="T436" s="23"/>
      <c r="U436" s="23"/>
      <c r="V436" s="23"/>
      <c r="W436" s="23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  <c r="S437" s="23"/>
      <c r="T437" s="23"/>
      <c r="U437" s="23"/>
      <c r="V437" s="23"/>
      <c r="W437" s="23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  <c r="S438" s="23"/>
      <c r="T438" s="23"/>
      <c r="U438" s="23"/>
      <c r="V438" s="23"/>
      <c r="W438" s="23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  <c r="S439" s="23"/>
      <c r="T439" s="23"/>
      <c r="U439" s="23"/>
      <c r="V439" s="23"/>
      <c r="W439" s="23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3"/>
      <c r="T440" s="23"/>
      <c r="U440" s="23"/>
      <c r="V440" s="23"/>
      <c r="W440" s="23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3"/>
      <c r="T441" s="23"/>
      <c r="U441" s="23"/>
      <c r="V441" s="23"/>
      <c r="W441" s="23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3"/>
      <c r="T442" s="23"/>
      <c r="U442" s="23"/>
      <c r="V442" s="23"/>
      <c r="W442" s="23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3"/>
      <c r="T443" s="23"/>
      <c r="U443" s="23"/>
      <c r="V443" s="23"/>
      <c r="W443" s="23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3"/>
      <c r="T444" s="23"/>
      <c r="U444" s="23"/>
      <c r="V444" s="23"/>
      <c r="W444" s="23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3"/>
      <c r="T445" s="23"/>
      <c r="U445" s="23"/>
      <c r="V445" s="23"/>
      <c r="W445" s="23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3"/>
      <c r="T446" s="23"/>
      <c r="U446" s="23"/>
      <c r="V446" s="23"/>
      <c r="W446" s="23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3"/>
      <c r="T447" s="23"/>
      <c r="U447" s="23"/>
      <c r="V447" s="23"/>
      <c r="W447" s="23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3"/>
      <c r="T448" s="23"/>
      <c r="U448" s="23"/>
      <c r="V448" s="23"/>
      <c r="W448" s="23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3"/>
      <c r="T449" s="23"/>
      <c r="U449" s="23"/>
      <c r="V449" s="23"/>
      <c r="W449" s="23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3"/>
      <c r="T450" s="23"/>
      <c r="U450" s="23"/>
      <c r="V450" s="23"/>
      <c r="W450" s="23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3"/>
      <c r="T451" s="23"/>
      <c r="U451" s="23"/>
      <c r="V451" s="23"/>
      <c r="W451" s="23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3"/>
      <c r="T452" s="23"/>
      <c r="U452" s="23"/>
      <c r="V452" s="23"/>
      <c r="W452" s="23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3"/>
      <c r="T453" s="23"/>
      <c r="U453" s="23"/>
      <c r="V453" s="23"/>
      <c r="W453" s="23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3"/>
      <c r="T454" s="23"/>
      <c r="U454" s="23"/>
      <c r="V454" s="23"/>
      <c r="W454" s="23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3"/>
      <c r="T455" s="23"/>
      <c r="U455" s="23"/>
      <c r="V455" s="23"/>
      <c r="W455" s="23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3"/>
      <c r="T456" s="23"/>
      <c r="U456" s="23"/>
      <c r="V456" s="23"/>
      <c r="W456" s="23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3"/>
      <c r="T457" s="23"/>
      <c r="U457" s="23"/>
      <c r="V457" s="23"/>
      <c r="W457" s="23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3"/>
      <c r="T458" s="23"/>
      <c r="U458" s="23"/>
      <c r="V458" s="23"/>
      <c r="W458" s="23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3"/>
      <c r="T459" s="23"/>
      <c r="U459" s="23"/>
      <c r="V459" s="23"/>
      <c r="W459" s="23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3"/>
      <c r="T460" s="23"/>
      <c r="U460" s="23"/>
      <c r="V460" s="23"/>
      <c r="W460" s="23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3"/>
      <c r="T461" s="23"/>
      <c r="U461" s="23"/>
      <c r="V461" s="23"/>
      <c r="W461" s="23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3"/>
      <c r="T462" s="23"/>
      <c r="U462" s="23"/>
      <c r="V462" s="23"/>
      <c r="W462" s="23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3"/>
      <c r="T463" s="23"/>
      <c r="U463" s="23"/>
      <c r="V463" s="23"/>
      <c r="W463" s="23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3"/>
      <c r="T464" s="23"/>
      <c r="U464" s="23"/>
      <c r="V464" s="23"/>
      <c r="W464" s="23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3"/>
      <c r="T465" s="23"/>
      <c r="U465" s="23"/>
      <c r="V465" s="23"/>
      <c r="W465" s="23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3"/>
      <c r="T466" s="23"/>
      <c r="U466" s="23"/>
      <c r="V466" s="23"/>
      <c r="W466" s="23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3"/>
      <c r="T467" s="23"/>
      <c r="U467" s="23"/>
      <c r="V467" s="23"/>
      <c r="W467" s="23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3"/>
      <c r="T468" s="23"/>
      <c r="U468" s="23"/>
      <c r="V468" s="23"/>
      <c r="W468" s="23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3"/>
      <c r="T469" s="23"/>
      <c r="U469" s="23"/>
      <c r="V469" s="23"/>
      <c r="W469" s="23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3"/>
      <c r="T470" s="23"/>
      <c r="U470" s="23"/>
      <c r="V470" s="23"/>
      <c r="W470" s="23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3"/>
      <c r="T471" s="23"/>
      <c r="U471" s="23"/>
      <c r="V471" s="23"/>
      <c r="W471" s="23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3"/>
      <c r="T472" s="23"/>
      <c r="U472" s="23"/>
      <c r="V472" s="23"/>
      <c r="W472" s="23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3"/>
      <c r="T473" s="23"/>
      <c r="U473" s="23"/>
      <c r="V473" s="23"/>
      <c r="W473" s="23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3"/>
      <c r="T474" s="23"/>
      <c r="U474" s="23"/>
      <c r="V474" s="23"/>
      <c r="W474" s="23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3"/>
      <c r="T475" s="23"/>
      <c r="U475" s="23"/>
      <c r="V475" s="23"/>
      <c r="W475" s="23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3"/>
      <c r="T476" s="23"/>
      <c r="U476" s="23"/>
      <c r="V476" s="23"/>
      <c r="W476" s="23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3"/>
      <c r="T477" s="23"/>
      <c r="U477" s="23"/>
      <c r="V477" s="23"/>
      <c r="W477" s="23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3"/>
      <c r="T478" s="23"/>
      <c r="U478" s="23"/>
      <c r="V478" s="23"/>
      <c r="W478" s="23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3"/>
      <c r="T479" s="23"/>
      <c r="U479" s="23"/>
      <c r="V479" s="23"/>
      <c r="W479" s="23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3"/>
      <c r="T480" s="23"/>
      <c r="U480" s="23"/>
      <c r="V480" s="23"/>
      <c r="W480" s="23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3"/>
      <c r="T481" s="23"/>
      <c r="U481" s="23"/>
      <c r="V481" s="23"/>
      <c r="W481" s="23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3"/>
      <c r="T482" s="23"/>
      <c r="U482" s="23"/>
      <c r="V482" s="23"/>
      <c r="W482" s="23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3"/>
      <c r="T483" s="23"/>
      <c r="U483" s="23"/>
      <c r="V483" s="23"/>
      <c r="W483" s="23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3"/>
      <c r="T484" s="23"/>
      <c r="U484" s="23"/>
      <c r="V484" s="23"/>
      <c r="W484" s="23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3"/>
      <c r="T485" s="23"/>
      <c r="U485" s="23"/>
      <c r="V485" s="23"/>
      <c r="W485" s="23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3"/>
      <c r="T486" s="23"/>
      <c r="U486" s="23"/>
      <c r="V486" s="23"/>
      <c r="W486" s="23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3"/>
      <c r="T487" s="23"/>
      <c r="U487" s="23"/>
      <c r="V487" s="23"/>
      <c r="W487" s="23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3"/>
      <c r="T488" s="23"/>
      <c r="U488" s="23"/>
      <c r="V488" s="23"/>
      <c r="W488" s="23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3"/>
      <c r="T489" s="23"/>
      <c r="U489" s="23"/>
      <c r="V489" s="23"/>
      <c r="W489" s="23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3"/>
      <c r="T490" s="23"/>
      <c r="U490" s="23"/>
      <c r="V490" s="23"/>
      <c r="W490" s="23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3"/>
      <c r="T491" s="23"/>
      <c r="U491" s="23"/>
      <c r="V491" s="23"/>
      <c r="W491" s="23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3"/>
      <c r="T492" s="23"/>
      <c r="U492" s="23"/>
      <c r="V492" s="23"/>
      <c r="W492" s="23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3"/>
      <c r="T493" s="23"/>
      <c r="U493" s="23"/>
      <c r="V493" s="23"/>
      <c r="W493" s="23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3"/>
      <c r="T494" s="23"/>
      <c r="U494" s="23"/>
      <c r="V494" s="23"/>
      <c r="W494" s="23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3"/>
      <c r="T495" s="23"/>
      <c r="U495" s="23"/>
      <c r="V495" s="23"/>
      <c r="W495" s="23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3"/>
      <c r="T496" s="23"/>
      <c r="U496" s="23"/>
      <c r="V496" s="23"/>
      <c r="W496" s="23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3"/>
      <c r="T497" s="23"/>
      <c r="U497" s="23"/>
      <c r="V497" s="23"/>
      <c r="W497" s="23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3"/>
      <c r="T498" s="23"/>
      <c r="U498" s="23"/>
      <c r="V498" s="23"/>
      <c r="W498" s="23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3"/>
      <c r="T499" s="23"/>
      <c r="U499" s="23"/>
      <c r="V499" s="23"/>
      <c r="W499" s="23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3"/>
      <c r="T500" s="23"/>
      <c r="U500" s="23"/>
      <c r="V500" s="23"/>
      <c r="W500" s="23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3"/>
      <c r="T501" s="23"/>
      <c r="U501" s="23"/>
      <c r="V501" s="23"/>
      <c r="W501" s="23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3"/>
      <c r="T502" s="23"/>
      <c r="U502" s="23"/>
      <c r="V502" s="23"/>
      <c r="W502" s="23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3"/>
      <c r="T503" s="23"/>
      <c r="U503" s="23"/>
      <c r="V503" s="23"/>
      <c r="W503" s="23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3"/>
      <c r="T504" s="23"/>
      <c r="U504" s="23"/>
      <c r="V504" s="23"/>
      <c r="W504" s="23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3"/>
      <c r="T505" s="23"/>
      <c r="U505" s="23"/>
      <c r="V505" s="23"/>
      <c r="W505" s="23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3"/>
      <c r="T506" s="23"/>
      <c r="U506" s="23"/>
      <c r="V506" s="23"/>
      <c r="W506" s="23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3"/>
      <c r="T507" s="23"/>
      <c r="U507" s="23"/>
      <c r="V507" s="23"/>
      <c r="W507" s="23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3"/>
      <c r="T508" s="23"/>
      <c r="U508" s="23"/>
      <c r="V508" s="23"/>
      <c r="W508" s="23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3"/>
      <c r="T509" s="23"/>
      <c r="U509" s="23"/>
      <c r="V509" s="23"/>
      <c r="W509" s="23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3"/>
      <c r="T510" s="23"/>
      <c r="U510" s="23"/>
      <c r="V510" s="23"/>
      <c r="W510" s="23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3"/>
      <c r="T511" s="23"/>
      <c r="U511" s="23"/>
      <c r="V511" s="23"/>
      <c r="W511" s="23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3"/>
      <c r="T512" s="23"/>
      <c r="U512" s="23"/>
      <c r="V512" s="23"/>
      <c r="W512" s="23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3"/>
      <c r="T513" s="23"/>
      <c r="U513" s="23"/>
      <c r="V513" s="23"/>
      <c r="W513" s="23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3"/>
      <c r="T514" s="23"/>
      <c r="U514" s="23"/>
      <c r="V514" s="23"/>
      <c r="W514" s="23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3"/>
      <c r="T515" s="23"/>
      <c r="U515" s="23"/>
      <c r="V515" s="23"/>
      <c r="W515" s="23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3"/>
      <c r="T516" s="23"/>
      <c r="U516" s="23"/>
      <c r="V516" s="23"/>
      <c r="W516" s="23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3"/>
      <c r="T517" s="23"/>
      <c r="U517" s="23"/>
      <c r="V517" s="23"/>
      <c r="W517" s="23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3"/>
      <c r="T518" s="23"/>
      <c r="U518" s="23"/>
      <c r="V518" s="23"/>
      <c r="W518" s="23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3"/>
      <c r="T519" s="23"/>
      <c r="U519" s="23"/>
      <c r="V519" s="23"/>
      <c r="W519" s="23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3"/>
      <c r="T520" s="23"/>
      <c r="U520" s="23"/>
      <c r="V520" s="23"/>
      <c r="W520" s="23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3"/>
      <c r="T521" s="23"/>
      <c r="U521" s="23"/>
      <c r="V521" s="23"/>
      <c r="W521" s="23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3"/>
      <c r="T522" s="23"/>
      <c r="U522" s="23"/>
      <c r="V522" s="23"/>
      <c r="W522" s="23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3"/>
      <c r="T523" s="23"/>
      <c r="U523" s="23"/>
      <c r="V523" s="23"/>
      <c r="W523" s="23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3"/>
      <c r="T524" s="23"/>
      <c r="U524" s="23"/>
      <c r="V524" s="23"/>
      <c r="W524" s="23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3"/>
      <c r="T525" s="23"/>
      <c r="U525" s="23"/>
      <c r="V525" s="23"/>
      <c r="W525" s="23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3"/>
      <c r="T526" s="23"/>
      <c r="U526" s="23"/>
      <c r="V526" s="23"/>
      <c r="W526" s="23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3"/>
      <c r="T527" s="23"/>
      <c r="U527" s="23"/>
      <c r="V527" s="23"/>
      <c r="W527" s="23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3"/>
      <c r="T528" s="23"/>
      <c r="U528" s="23"/>
      <c r="V528" s="23"/>
      <c r="W528" s="23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3"/>
      <c r="T529" s="23"/>
      <c r="U529" s="23"/>
      <c r="V529" s="23"/>
      <c r="W529" s="23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3"/>
      <c r="T530" s="23"/>
      <c r="U530" s="23"/>
      <c r="V530" s="23"/>
      <c r="W530" s="23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3"/>
      <c r="T531" s="23"/>
      <c r="U531" s="23"/>
      <c r="V531" s="23"/>
      <c r="W531" s="23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3"/>
      <c r="T532" s="23"/>
      <c r="U532" s="23"/>
      <c r="V532" s="23"/>
      <c r="W532" s="23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3"/>
      <c r="T533" s="23"/>
      <c r="U533" s="23"/>
      <c r="V533" s="23"/>
      <c r="W533" s="23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3"/>
      <c r="T534" s="23"/>
      <c r="U534" s="23"/>
      <c r="V534" s="23"/>
      <c r="W534" s="23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3"/>
      <c r="T535" s="23"/>
      <c r="U535" s="23"/>
      <c r="V535" s="23"/>
      <c r="W535" s="23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3"/>
      <c r="T536" s="23"/>
      <c r="U536" s="23"/>
      <c r="V536" s="23"/>
      <c r="W536" s="23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3"/>
      <c r="T537" s="23"/>
      <c r="U537" s="23"/>
      <c r="V537" s="23"/>
      <c r="W537" s="23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3"/>
      <c r="T538" s="23"/>
      <c r="U538" s="23"/>
      <c r="V538" s="23"/>
      <c r="W538" s="23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3"/>
      <c r="T539" s="23"/>
      <c r="U539" s="23"/>
      <c r="V539" s="23"/>
      <c r="W539" s="23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3"/>
      <c r="T540" s="23"/>
      <c r="U540" s="23"/>
      <c r="V540" s="23"/>
      <c r="W540" s="23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3"/>
      <c r="T541" s="23"/>
      <c r="U541" s="23"/>
      <c r="V541" s="23"/>
      <c r="W541" s="23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3"/>
      <c r="T542" s="23"/>
      <c r="U542" s="23"/>
      <c r="V542" s="23"/>
      <c r="W542" s="23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3"/>
      <c r="T543" s="23"/>
      <c r="U543" s="23"/>
      <c r="V543" s="23"/>
      <c r="W543" s="23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3"/>
      <c r="T544" s="23"/>
      <c r="U544" s="23"/>
      <c r="V544" s="23"/>
      <c r="W544" s="23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3"/>
      <c r="T545" s="23"/>
      <c r="U545" s="23"/>
      <c r="V545" s="23"/>
      <c r="W545" s="23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3"/>
      <c r="T546" s="23"/>
      <c r="U546" s="23"/>
      <c r="V546" s="23"/>
      <c r="W546" s="23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3"/>
      <c r="T547" s="23"/>
      <c r="U547" s="23"/>
      <c r="V547" s="23"/>
      <c r="W547" s="23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3"/>
      <c r="T548" s="23"/>
      <c r="U548" s="23"/>
      <c r="V548" s="23"/>
      <c r="W548" s="23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3"/>
      <c r="T549" s="23"/>
      <c r="U549" s="23"/>
      <c r="V549" s="23"/>
      <c r="W549" s="23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3"/>
      <c r="T550" s="23"/>
      <c r="U550" s="23"/>
      <c r="V550" s="23"/>
      <c r="W550" s="23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3"/>
      <c r="T551" s="23"/>
      <c r="U551" s="23"/>
      <c r="V551" s="23"/>
      <c r="W551" s="23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3"/>
      <c r="T552" s="23"/>
      <c r="U552" s="23"/>
      <c r="V552" s="23"/>
      <c r="W552" s="23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3"/>
      <c r="T553" s="23"/>
      <c r="U553" s="23"/>
      <c r="V553" s="23"/>
      <c r="W553" s="23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3"/>
      <c r="T554" s="23"/>
      <c r="U554" s="23"/>
      <c r="V554" s="23"/>
      <c r="W554" s="23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3"/>
      <c r="T555" s="23"/>
      <c r="U555" s="23"/>
      <c r="V555" s="23"/>
      <c r="W555" s="23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3"/>
      <c r="T556" s="23"/>
      <c r="U556" s="23"/>
      <c r="V556" s="23"/>
      <c r="W556" s="23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3"/>
      <c r="T557" s="23"/>
      <c r="U557" s="23"/>
      <c r="V557" s="23"/>
      <c r="W557" s="23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3"/>
      <c r="T558" s="23"/>
      <c r="U558" s="23"/>
      <c r="V558" s="23"/>
      <c r="W558" s="23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3"/>
      <c r="T559" s="23"/>
      <c r="U559" s="23"/>
      <c r="V559" s="23"/>
      <c r="W559" s="23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3"/>
      <c r="T560" s="23"/>
      <c r="U560" s="23"/>
      <c r="V560" s="23"/>
      <c r="W560" s="23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3"/>
      <c r="T561" s="23"/>
      <c r="U561" s="23"/>
      <c r="V561" s="23"/>
      <c r="W561" s="23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3"/>
      <c r="T562" s="23"/>
      <c r="U562" s="23"/>
      <c r="V562" s="23"/>
      <c r="W562" s="23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3"/>
      <c r="T563" s="23"/>
      <c r="U563" s="23"/>
      <c r="V563" s="23"/>
      <c r="W563" s="23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3"/>
      <c r="T564" s="23"/>
      <c r="U564" s="23"/>
      <c r="V564" s="23"/>
      <c r="W564" s="23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3"/>
      <c r="T565" s="23"/>
      <c r="U565" s="23"/>
      <c r="V565" s="23"/>
      <c r="W565" s="23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3"/>
      <c r="T566" s="23"/>
      <c r="U566" s="23"/>
      <c r="V566" s="23"/>
      <c r="W566" s="23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3"/>
      <c r="T567" s="23"/>
      <c r="U567" s="23"/>
      <c r="V567" s="23"/>
      <c r="W567" s="23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3"/>
      <c r="T568" s="23"/>
      <c r="U568" s="23"/>
      <c r="V568" s="23"/>
      <c r="W568" s="23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3"/>
      <c r="T569" s="23"/>
      <c r="U569" s="23"/>
      <c r="V569" s="23"/>
      <c r="W569" s="23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3"/>
      <c r="T570" s="23"/>
      <c r="U570" s="23"/>
      <c r="V570" s="23"/>
      <c r="W570" s="23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3"/>
      <c r="T571" s="23"/>
      <c r="U571" s="23"/>
      <c r="V571" s="23"/>
      <c r="W571" s="23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3"/>
      <c r="T572" s="23"/>
      <c r="U572" s="23"/>
      <c r="V572" s="23"/>
      <c r="W572" s="23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3"/>
      <c r="T573" s="23"/>
      <c r="U573" s="23"/>
      <c r="V573" s="23"/>
      <c r="W573" s="23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3"/>
      <c r="T574" s="23"/>
      <c r="U574" s="23"/>
      <c r="V574" s="23"/>
      <c r="W574" s="23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3"/>
      <c r="T575" s="23"/>
      <c r="U575" s="23"/>
      <c r="V575" s="23"/>
      <c r="W575" s="23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3"/>
      <c r="T576" s="23"/>
      <c r="U576" s="23"/>
      <c r="V576" s="23"/>
      <c r="W576" s="23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3"/>
      <c r="T577" s="23"/>
      <c r="U577" s="23"/>
      <c r="V577" s="23"/>
      <c r="W577" s="23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3"/>
      <c r="T578" s="23"/>
      <c r="U578" s="23"/>
      <c r="V578" s="23"/>
      <c r="W578" s="23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3"/>
      <c r="T579" s="23"/>
      <c r="U579" s="23"/>
      <c r="V579" s="23"/>
      <c r="W579" s="23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3"/>
      <c r="T580" s="23"/>
      <c r="U580" s="23"/>
      <c r="V580" s="23"/>
      <c r="W580" s="23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3"/>
      <c r="T581" s="23"/>
      <c r="U581" s="23"/>
      <c r="V581" s="23"/>
      <c r="W581" s="23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3"/>
      <c r="T582" s="23"/>
      <c r="U582" s="23"/>
      <c r="V582" s="23"/>
      <c r="W582" s="23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3"/>
      <c r="T583" s="23"/>
      <c r="U583" s="23"/>
      <c r="V583" s="23"/>
      <c r="W583" s="23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3"/>
      <c r="T584" s="23"/>
      <c r="U584" s="23"/>
      <c r="V584" s="23"/>
      <c r="W584" s="23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3"/>
      <c r="T585" s="23"/>
      <c r="U585" s="23"/>
      <c r="V585" s="23"/>
      <c r="W585" s="23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3"/>
      <c r="T586" s="23"/>
      <c r="U586" s="23"/>
      <c r="V586" s="23"/>
      <c r="W586" s="23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3"/>
      <c r="T587" s="23"/>
      <c r="U587" s="23"/>
      <c r="V587" s="23"/>
      <c r="W587" s="23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3"/>
      <c r="T588" s="23"/>
      <c r="U588" s="23"/>
      <c r="V588" s="23"/>
      <c r="W588" s="23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3"/>
      <c r="T589" s="23"/>
      <c r="U589" s="23"/>
      <c r="V589" s="23"/>
      <c r="W589" s="23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3"/>
      <c r="T590" s="23"/>
      <c r="U590" s="23"/>
      <c r="V590" s="23"/>
      <c r="W590" s="23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3"/>
      <c r="T591" s="23"/>
      <c r="U591" s="23"/>
      <c r="V591" s="23"/>
      <c r="W591" s="23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3"/>
      <c r="T592" s="23"/>
      <c r="U592" s="23"/>
      <c r="V592" s="23"/>
      <c r="W592" s="23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3"/>
      <c r="T593" s="23"/>
      <c r="U593" s="23"/>
      <c r="V593" s="23"/>
      <c r="W593" s="23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3"/>
      <c r="T594" s="23"/>
      <c r="U594" s="23"/>
      <c r="V594" s="23"/>
      <c r="W594" s="23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3"/>
      <c r="T595" s="23"/>
      <c r="U595" s="23"/>
      <c r="V595" s="23"/>
      <c r="W595" s="23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3"/>
      <c r="T596" s="23"/>
      <c r="U596" s="23"/>
      <c r="V596" s="23"/>
      <c r="W596" s="23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3"/>
      <c r="T597" s="23"/>
      <c r="U597" s="23"/>
      <c r="V597" s="23"/>
      <c r="W597" s="23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3"/>
      <c r="T598" s="23"/>
      <c r="U598" s="23"/>
      <c r="V598" s="23"/>
      <c r="W598" s="23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3"/>
      <c r="T599" s="23"/>
      <c r="U599" s="23"/>
      <c r="V599" s="23"/>
      <c r="W599" s="23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3"/>
      <c r="T600" s="23"/>
      <c r="U600" s="23"/>
      <c r="V600" s="23"/>
      <c r="W600" s="23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3"/>
      <c r="T601" s="23"/>
      <c r="U601" s="23"/>
      <c r="V601" s="23"/>
      <c r="W601" s="23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3"/>
      <c r="T602" s="23"/>
      <c r="U602" s="23"/>
      <c r="V602" s="23"/>
      <c r="W602" s="23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3"/>
      <c r="T603" s="23"/>
      <c r="U603" s="23"/>
      <c r="V603" s="23"/>
      <c r="W603" s="23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3"/>
      <c r="T604" s="23"/>
      <c r="U604" s="23"/>
      <c r="V604" s="23"/>
      <c r="W604" s="23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3"/>
      <c r="T605" s="23"/>
      <c r="U605" s="23"/>
      <c r="V605" s="23"/>
      <c r="W605" s="23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3"/>
      <c r="T606" s="23"/>
      <c r="U606" s="23"/>
      <c r="V606" s="23"/>
      <c r="W606" s="23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3"/>
      <c r="T607" s="23"/>
      <c r="U607" s="23"/>
      <c r="V607" s="23"/>
      <c r="W607" s="23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3"/>
      <c r="T608" s="23"/>
      <c r="U608" s="23"/>
      <c r="V608" s="23"/>
      <c r="W608" s="23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3"/>
      <c r="T609" s="23"/>
      <c r="U609" s="23"/>
      <c r="V609" s="23"/>
      <c r="W609" s="23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3"/>
      <c r="T610" s="23"/>
      <c r="U610" s="23"/>
      <c r="V610" s="23"/>
      <c r="W610" s="23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3"/>
      <c r="T611" s="23"/>
      <c r="U611" s="23"/>
      <c r="V611" s="23"/>
      <c r="W611" s="23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3"/>
      <c r="T612" s="23"/>
      <c r="U612" s="23"/>
      <c r="V612" s="23"/>
      <c r="W612" s="23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3"/>
      <c r="T613" s="23"/>
      <c r="U613" s="23"/>
      <c r="V613" s="23"/>
      <c r="W613" s="23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3"/>
      <c r="T614" s="23"/>
      <c r="U614" s="23"/>
      <c r="V614" s="23"/>
      <c r="W614" s="23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3"/>
      <c r="T615" s="23"/>
      <c r="U615" s="23"/>
      <c r="V615" s="23"/>
      <c r="W615" s="23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3"/>
      <c r="T616" s="23"/>
      <c r="U616" s="23"/>
      <c r="V616" s="23"/>
      <c r="W616" s="23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3"/>
      <c r="T617" s="23"/>
      <c r="U617" s="23"/>
      <c r="V617" s="23"/>
      <c r="W617" s="23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3"/>
      <c r="T618" s="23"/>
      <c r="U618" s="23"/>
      <c r="V618" s="23"/>
      <c r="W618" s="23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3"/>
      <c r="T619" s="23"/>
      <c r="U619" s="23"/>
      <c r="V619" s="23"/>
      <c r="W619" s="23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3"/>
      <c r="T620" s="23"/>
      <c r="U620" s="23"/>
      <c r="V620" s="23"/>
      <c r="W620" s="23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3"/>
      <c r="T621" s="23"/>
      <c r="U621" s="23"/>
      <c r="V621" s="23"/>
      <c r="W621" s="23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3"/>
      <c r="T622" s="23"/>
      <c r="U622" s="23"/>
      <c r="V622" s="23"/>
      <c r="W622" s="23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3"/>
      <c r="T623" s="23"/>
      <c r="U623" s="23"/>
      <c r="V623" s="23"/>
      <c r="W623" s="23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3"/>
      <c r="T624" s="23"/>
      <c r="U624" s="23"/>
      <c r="V624" s="23"/>
      <c r="W624" s="23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3"/>
      <c r="T625" s="23"/>
      <c r="U625" s="23"/>
      <c r="V625" s="23"/>
      <c r="W625" s="23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3"/>
      <c r="T626" s="23"/>
      <c r="U626" s="23"/>
      <c r="V626" s="23"/>
      <c r="W626" s="23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3"/>
      <c r="T627" s="23"/>
      <c r="U627" s="23"/>
      <c r="V627" s="23"/>
      <c r="W627" s="23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3"/>
      <c r="T628" s="23"/>
      <c r="U628" s="23"/>
      <c r="V628" s="23"/>
      <c r="W628" s="23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3"/>
      <c r="T629" s="23"/>
      <c r="U629" s="23"/>
      <c r="V629" s="23"/>
      <c r="W629" s="23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3"/>
      <c r="T630" s="23"/>
      <c r="U630" s="23"/>
      <c r="V630" s="23"/>
      <c r="W630" s="23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3"/>
      <c r="T631" s="23"/>
      <c r="U631" s="23"/>
      <c r="V631" s="23"/>
      <c r="W631" s="23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3"/>
      <c r="T632" s="23"/>
      <c r="U632" s="23"/>
      <c r="V632" s="23"/>
      <c r="W632" s="23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3"/>
      <c r="T633" s="23"/>
      <c r="U633" s="23"/>
      <c r="V633" s="23"/>
      <c r="W633" s="23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3"/>
      <c r="T634" s="23"/>
      <c r="U634" s="23"/>
      <c r="V634" s="23"/>
      <c r="W634" s="23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3"/>
      <c r="T635" s="23"/>
      <c r="U635" s="23"/>
      <c r="V635" s="23"/>
      <c r="W635" s="23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3"/>
      <c r="T636" s="23"/>
      <c r="U636" s="23"/>
      <c r="V636" s="23"/>
      <c r="W636" s="23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3"/>
      <c r="T637" s="23"/>
      <c r="U637" s="23"/>
      <c r="V637" s="23"/>
      <c r="W637" s="23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3"/>
      <c r="T638" s="23"/>
      <c r="U638" s="23"/>
      <c r="V638" s="23"/>
      <c r="W638" s="23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3"/>
      <c r="T639" s="23"/>
      <c r="U639" s="23"/>
      <c r="V639" s="23"/>
      <c r="W639" s="23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3"/>
      <c r="T640" s="23"/>
      <c r="U640" s="23"/>
      <c r="V640" s="23"/>
      <c r="W640" s="23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3"/>
      <c r="T641" s="23"/>
      <c r="U641" s="23"/>
      <c r="V641" s="23"/>
      <c r="W641" s="23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3"/>
      <c r="T642" s="23"/>
      <c r="U642" s="23"/>
      <c r="V642" s="23"/>
      <c r="W642" s="23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3"/>
      <c r="T643" s="23"/>
      <c r="U643" s="23"/>
      <c r="V643" s="23"/>
      <c r="W643" s="23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3"/>
      <c r="T644" s="23"/>
      <c r="U644" s="23"/>
      <c r="V644" s="23"/>
      <c r="W644" s="23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3"/>
      <c r="T645" s="23"/>
      <c r="U645" s="23"/>
      <c r="V645" s="23"/>
      <c r="W645" s="23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3"/>
      <c r="T646" s="23"/>
      <c r="U646" s="23"/>
      <c r="V646" s="23"/>
      <c r="W646" s="23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3"/>
      <c r="T647" s="23"/>
      <c r="U647" s="23"/>
      <c r="V647" s="23"/>
      <c r="W647" s="23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3"/>
      <c r="T648" s="23"/>
      <c r="U648" s="23"/>
      <c r="V648" s="23"/>
      <c r="W648" s="23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3"/>
      <c r="T649" s="23"/>
      <c r="U649" s="23"/>
      <c r="V649" s="23"/>
      <c r="W649" s="23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3"/>
      <c r="T650" s="23"/>
      <c r="U650" s="23"/>
      <c r="V650" s="23"/>
      <c r="W650" s="23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3"/>
      <c r="T651" s="23"/>
      <c r="U651" s="23"/>
      <c r="V651" s="23"/>
      <c r="W651" s="23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2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  <c r="U1212" s="23"/>
      <c r="V1212" s="23"/>
    </row>
    <row r="1213" ht="20.25" spans="1:22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  <c r="U1213" s="23"/>
      <c r="V1213" s="23"/>
    </row>
    <row r="1214" ht="20.25" spans="1:22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  <c r="U1214" s="23"/>
      <c r="V1214" s="23"/>
    </row>
    <row r="1215" ht="20.25" spans="1:22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  <c r="U1215" s="23"/>
      <c r="V1215" s="23"/>
    </row>
    <row r="1216" ht="20.25" spans="1:22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  <c r="U1216" s="23"/>
      <c r="V1216" s="23"/>
    </row>
    <row r="1217" ht="20.25" spans="1:22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  <c r="U1217" s="23"/>
      <c r="V1217" s="23"/>
    </row>
    <row r="1218" ht="20.25" spans="1:22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  <c r="U1218" s="23"/>
      <c r="V1218" s="23"/>
    </row>
    <row r="1219" ht="20.25" spans="1:22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  <c r="U1219" s="23"/>
      <c r="V1219" s="23"/>
    </row>
    <row r="1220" ht="20.25" spans="1:22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  <c r="U1220" s="23"/>
      <c r="V1220" s="23"/>
    </row>
    <row r="1221" ht="20.25" spans="1:22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  <c r="U1221" s="23"/>
      <c r="V1221" s="23"/>
    </row>
    <row r="1222" ht="20.25" spans="1:22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  <c r="U1222" s="23"/>
      <c r="V1222" s="23"/>
    </row>
    <row r="1223" ht="20.25" spans="1:22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  <c r="U1223" s="23"/>
      <c r="V1223" s="23"/>
    </row>
    <row r="1224" ht="20.25" spans="1:22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  <c r="U1224" s="23"/>
      <c r="V1224" s="23"/>
    </row>
    <row r="1225" ht="20.25" spans="1:22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  <c r="U1225" s="23"/>
      <c r="V1225" s="23"/>
    </row>
    <row r="1226" ht="20.25" spans="1:22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  <c r="U1226" s="23"/>
      <c r="V1226" s="23"/>
    </row>
    <row r="1227" ht="20.25" spans="1:22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  <c r="U1227" s="23"/>
      <c r="V1227" s="23"/>
    </row>
    <row r="1228" ht="20.25" spans="1:22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  <c r="U1228" s="23"/>
      <c r="V1228" s="23"/>
    </row>
    <row r="1229" ht="20.25" spans="1:22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  <c r="U1229" s="23"/>
      <c r="V1229" s="23"/>
    </row>
    <row r="1230" ht="20.25" spans="1:22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  <c r="U1230" s="23"/>
      <c r="V1230" s="23"/>
    </row>
    <row r="1231" ht="20.25" spans="1:22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  <c r="U1231" s="23"/>
      <c r="V1231" s="23"/>
    </row>
    <row r="1232" ht="20.25" spans="1:22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  <c r="U1232" s="23"/>
      <c r="V1232" s="23"/>
    </row>
    <row r="1233" ht="20.25" spans="1:22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  <c r="U1233" s="23"/>
      <c r="V1233" s="23"/>
    </row>
    <row r="1234" ht="20.25" spans="1:22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  <c r="U1234" s="23"/>
      <c r="V1234" s="23"/>
    </row>
    <row r="1235" ht="20.25" spans="1:22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  <c r="U1235" s="23"/>
      <c r="V1235" s="23"/>
    </row>
    <row r="1236" ht="20.25" spans="1:22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  <c r="U1236" s="23"/>
      <c r="V1236" s="23"/>
    </row>
    <row r="1237" ht="20.25" spans="1:22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  <c r="U1237" s="23"/>
      <c r="V1237" s="23"/>
    </row>
    <row r="1238" ht="20.25" spans="1:22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  <c r="U1238" s="23"/>
      <c r="V1238" s="23"/>
    </row>
    <row r="1239" ht="20.25" spans="1:22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  <c r="U1239" s="23"/>
      <c r="V1239" s="23"/>
    </row>
    <row r="1240" ht="20.25" spans="1:22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  <c r="U1240" s="23"/>
      <c r="V1240" s="23"/>
    </row>
    <row r="1241" ht="20.25" spans="1:22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  <c r="U1241" s="23"/>
      <c r="V1241" s="23"/>
    </row>
    <row r="1242" ht="20.25" spans="1:22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  <c r="U1242" s="23"/>
      <c r="V1242" s="23"/>
    </row>
    <row r="1243" ht="20.25" spans="1:22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  <c r="U1243" s="23"/>
      <c r="V1243" s="23"/>
    </row>
    <row r="1244" ht="20.25" spans="1:22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  <c r="U1244" s="23"/>
      <c r="V1244" s="23"/>
    </row>
    <row r="1245" ht="20.25" spans="1:22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  <c r="U1245" s="23"/>
      <c r="V1245" s="23"/>
    </row>
    <row r="1246" ht="20.25" spans="1:22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  <c r="U1246" s="23"/>
      <c r="V1246" s="23"/>
    </row>
    <row r="1247" ht="20.25" spans="1:22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  <c r="U1247" s="23"/>
      <c r="V1247" s="23"/>
    </row>
    <row r="1248" ht="20.25" spans="1:22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  <c r="U1248" s="23"/>
      <c r="V1248" s="23"/>
    </row>
    <row r="1249" ht="20.25" spans="1:22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  <c r="U1249" s="23"/>
      <c r="V1249" s="23"/>
    </row>
    <row r="1250" ht="20.25" spans="1:22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  <c r="U1250" s="23"/>
      <c r="V1250" s="23"/>
    </row>
    <row r="1251" ht="20.25" spans="1:22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  <c r="U1251" s="23"/>
      <c r="V1251" s="23"/>
    </row>
    <row r="1252" ht="20.25" spans="1:22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  <c r="U1252" s="23"/>
      <c r="V1252" s="23"/>
    </row>
    <row r="1253" ht="20.25" spans="1:22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  <c r="U1253" s="23"/>
      <c r="V1253" s="23"/>
    </row>
    <row r="1254" ht="20.25" spans="1:22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  <c r="U1254" s="23"/>
      <c r="V1254" s="23"/>
    </row>
    <row r="1255" ht="20.25" spans="1:22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  <c r="U1255" s="23"/>
      <c r="V1255" s="23"/>
    </row>
    <row r="1256" ht="20.25" spans="1:22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  <c r="U1256" s="23"/>
      <c r="V1256" s="23"/>
    </row>
    <row r="1257" ht="20.25" spans="1:22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  <c r="U1257" s="23"/>
      <c r="V1257" s="23"/>
    </row>
    <row r="1258" ht="20.25" spans="1:22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  <c r="U1258" s="23"/>
      <c r="V1258" s="23"/>
    </row>
    <row r="1259" ht="20.25" spans="1:22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  <c r="U1259" s="23"/>
      <c r="V1259" s="23"/>
    </row>
    <row r="1260" ht="20.25" spans="1:22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  <c r="U1260" s="23"/>
      <c r="V1260" s="23"/>
    </row>
    <row r="1261" ht="20.25" spans="1:22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  <c r="U1261" s="23"/>
      <c r="V1261" s="23"/>
    </row>
    <row r="1262" ht="20.25" spans="1:22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  <c r="U1262" s="23"/>
      <c r="V1262" s="23"/>
    </row>
    <row r="1263" ht="20.25" spans="1:22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  <c r="U1263" s="23"/>
      <c r="V1263" s="23"/>
    </row>
    <row r="1264" ht="20.25" spans="1:22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  <c r="U1264" s="23"/>
      <c r="V1264" s="23"/>
    </row>
    <row r="1265" ht="20.25" spans="1:22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  <c r="U1265" s="23"/>
      <c r="V1265" s="23"/>
    </row>
    <row r="1266" ht="20.25" spans="1:22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  <c r="U1266" s="23"/>
      <c r="V1266" s="23"/>
    </row>
    <row r="1267" ht="20.25" spans="1:22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  <c r="U1267" s="23"/>
      <c r="V1267" s="23"/>
    </row>
    <row r="1268" ht="20.25" spans="1:22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  <c r="U1268" s="23"/>
      <c r="V1268" s="23"/>
    </row>
    <row r="1269" ht="20.25" spans="1:22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  <c r="U1269" s="23"/>
      <c r="V1269" s="23"/>
    </row>
    <row r="1270" ht="20.25" spans="1:22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  <c r="U1270" s="23"/>
      <c r="V1270" s="23"/>
    </row>
    <row r="1271" ht="20.25" spans="1:22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  <c r="U1271" s="23"/>
      <c r="V1271" s="23"/>
    </row>
    <row r="1272" ht="20.25" spans="1:22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  <c r="U1272" s="23"/>
      <c r="V1272" s="23"/>
    </row>
    <row r="1273" ht="20.25" spans="1:22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  <c r="U1273" s="23"/>
      <c r="V1273" s="23"/>
    </row>
    <row r="1274" ht="20.25" spans="1:22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  <c r="U1274" s="23"/>
      <c r="V1274" s="23"/>
    </row>
    <row r="1275" ht="20.25" spans="1:22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  <c r="U1275" s="23"/>
      <c r="V1275" s="23"/>
    </row>
    <row r="1276" ht="20.25" spans="1:22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  <c r="U1276" s="23"/>
      <c r="V1276" s="23"/>
    </row>
    <row r="1277" ht="20.25" spans="1:22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  <c r="U1277" s="23"/>
      <c r="V1277" s="23"/>
    </row>
    <row r="1278" ht="20.25" spans="1:22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  <c r="U1278" s="23"/>
      <c r="V1278" s="23"/>
    </row>
    <row r="1279" ht="20.25" spans="1:22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  <c r="U1279" s="23"/>
      <c r="V1279" s="23"/>
    </row>
    <row r="1280" ht="20.25" spans="1:22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  <c r="U1280" s="23"/>
      <c r="V1280" s="23"/>
    </row>
    <row r="1281" ht="20.25" spans="1:22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  <c r="U1281" s="23"/>
      <c r="V1281" s="23"/>
    </row>
    <row r="1282" ht="20.25" spans="1:22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  <c r="U1282" s="23"/>
      <c r="V1282" s="23"/>
    </row>
    <row r="1283" ht="20.25" spans="1:22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  <c r="U1283" s="23"/>
      <c r="V1283" s="23"/>
    </row>
    <row r="1284" ht="20.25" spans="1:22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  <c r="U1284" s="23"/>
      <c r="V1284" s="23"/>
    </row>
    <row r="1285" ht="20.25" spans="1:22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  <c r="U1285" s="23"/>
      <c r="V1285" s="23"/>
    </row>
    <row r="1286" ht="20.25" spans="1:22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  <c r="U1286" s="23"/>
      <c r="V1286" s="23"/>
    </row>
    <row r="1287" ht="20.25" spans="1:22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  <c r="U1287" s="23"/>
      <c r="V1287" s="23"/>
    </row>
    <row r="1288" ht="20.25" spans="1:22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  <c r="U1288" s="23"/>
      <c r="V1288" s="23"/>
    </row>
    <row r="1289" ht="20.25" spans="1:22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  <c r="U1289" s="23"/>
      <c r="V1289" s="23"/>
    </row>
    <row r="1290" ht="20.25" spans="1:22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  <c r="U1290" s="23"/>
      <c r="V1290" s="23"/>
    </row>
    <row r="1291" ht="20.25" spans="1:22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  <c r="U1291" s="23"/>
      <c r="V1291" s="23"/>
    </row>
    <row r="1292" ht="20.25" spans="1:22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  <c r="U1292" s="23"/>
      <c r="V1292" s="23"/>
    </row>
    <row r="1293" ht="20.25" spans="1:22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  <c r="U1293" s="23"/>
      <c r="V1293" s="23"/>
    </row>
    <row r="1294" ht="20.25" spans="1:22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  <c r="U1294" s="23"/>
      <c r="V1294" s="23"/>
    </row>
    <row r="1295" ht="20.25" spans="1:22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  <c r="U1295" s="23"/>
      <c r="V1295" s="23"/>
    </row>
    <row r="1296" ht="20.25" spans="1:22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  <c r="U1296" s="23"/>
      <c r="V1296" s="23"/>
    </row>
    <row r="1297" ht="20.25" spans="1:22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  <c r="U1297" s="23"/>
      <c r="V1297" s="23"/>
    </row>
    <row r="1298" ht="20.25" spans="1:22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  <c r="U1298" s="23"/>
      <c r="V1298" s="23"/>
    </row>
    <row r="1299" ht="20.25" spans="1:22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  <c r="U1299" s="23"/>
      <c r="V1299" s="23"/>
    </row>
    <row r="1300" ht="20.25" spans="1:22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  <c r="U1300" s="23"/>
      <c r="V1300" s="23"/>
    </row>
    <row r="1301" ht="20.25" spans="1:22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  <c r="U1301" s="23"/>
      <c r="V1301" s="23"/>
    </row>
    <row r="1302" ht="20.25" spans="1:22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  <c r="U1302" s="23"/>
      <c r="V1302" s="23"/>
    </row>
    <row r="1303" ht="20.25" spans="1:22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  <c r="U1303" s="23"/>
      <c r="V1303" s="23"/>
    </row>
    <row r="1304" ht="20.25" spans="1:22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  <c r="U1304" s="23"/>
      <c r="V1304" s="23"/>
    </row>
    <row r="1305" ht="20.25" spans="1:22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  <c r="U1305" s="23"/>
      <c r="V1305" s="23"/>
    </row>
    <row r="1306" ht="20.25" spans="1:22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  <c r="U1306" s="23"/>
      <c r="V1306" s="23"/>
    </row>
    <row r="1307" ht="20.25" spans="1:22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  <c r="U1307" s="23"/>
      <c r="V1307" s="23"/>
    </row>
    <row r="1308" ht="20.25" spans="1:22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  <c r="U1308" s="23"/>
      <c r="V1308" s="23"/>
    </row>
    <row r="1309" ht="20.25" spans="1:22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  <c r="U1309" s="23"/>
      <c r="V1309" s="23"/>
    </row>
    <row r="1310" ht="20.25" spans="1:22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  <c r="U1310" s="23"/>
      <c r="V1310" s="23"/>
    </row>
    <row r="1311" ht="20.25" spans="1:22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  <c r="U1311" s="23"/>
      <c r="V1311" s="23"/>
    </row>
    <row r="1312" ht="20.25" spans="1:22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  <c r="U1312" s="23"/>
      <c r="V1312" s="23"/>
    </row>
    <row r="1313" ht="20.25" spans="1:22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  <c r="U1313" s="23"/>
      <c r="V1313" s="23"/>
    </row>
    <row r="1314" ht="20.25" spans="1:22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  <c r="U1314" s="23"/>
      <c r="V1314" s="23"/>
    </row>
    <row r="1315" ht="20.25" spans="1:22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  <c r="U1315" s="23"/>
      <c r="V1315" s="23"/>
    </row>
    <row r="1316" ht="20.25" spans="1:22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  <c r="U1316" s="23"/>
      <c r="V1316" s="23"/>
    </row>
    <row r="1317" ht="20.25" spans="1:22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  <c r="U1317" s="23"/>
      <c r="V1317" s="23"/>
    </row>
    <row r="1318" ht="20.25" spans="1:22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  <c r="U1318" s="23"/>
      <c r="V1318" s="23"/>
    </row>
    <row r="1319" ht="20.25" spans="1:22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  <c r="U1319" s="23"/>
      <c r="V1319" s="23"/>
    </row>
    <row r="1320" ht="20.25" spans="1:22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  <c r="U1320" s="23"/>
      <c r="V1320" s="23"/>
    </row>
    <row r="1321" ht="20.25" spans="1:22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  <c r="U1321" s="23"/>
      <c r="V1321" s="23"/>
    </row>
    <row r="1322" ht="20.25" spans="1:22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  <c r="U1322" s="23"/>
      <c r="V1322" s="23"/>
    </row>
    <row r="1323" ht="20.25" spans="1:22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  <c r="U1323" s="23"/>
      <c r="V1323" s="23"/>
    </row>
    <row r="1324" ht="20.25" spans="1:22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  <c r="U1324" s="23"/>
      <c r="V1324" s="23"/>
    </row>
    <row r="1325" ht="20.25" spans="1:22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  <c r="U1325" s="23"/>
      <c r="V1325" s="23"/>
    </row>
    <row r="1326" ht="20.25" spans="1:22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  <c r="U1326" s="23"/>
      <c r="V1326" s="23"/>
    </row>
    <row r="1327" ht="20.25" spans="1:22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  <c r="U1327" s="23"/>
      <c r="V1327" s="23"/>
    </row>
    <row r="1328" ht="20.25" spans="1:22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  <c r="U1328" s="23"/>
      <c r="V1328" s="23"/>
    </row>
    <row r="1329" ht="20.25" spans="1:22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  <c r="U1329" s="23"/>
      <c r="V1329" s="23"/>
    </row>
    <row r="1330" ht="20.25" spans="1:22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  <c r="U1330" s="23"/>
      <c r="V1330" s="23"/>
    </row>
    <row r="1331" ht="20.25" spans="1:22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  <c r="U1331" s="23"/>
      <c r="V1331" s="23"/>
    </row>
    <row r="1332" ht="20.25" spans="1:22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  <c r="U1332" s="23"/>
      <c r="V1332" s="23"/>
    </row>
    <row r="1333" ht="20.25" spans="1:22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  <c r="U1333" s="23"/>
      <c r="V1333" s="23"/>
    </row>
    <row r="1334" ht="20.25" spans="1:22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  <c r="U1334" s="23"/>
      <c r="V1334" s="23"/>
    </row>
    <row r="1335" ht="20.25" spans="1:22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  <c r="U1335" s="23"/>
      <c r="V1335" s="23"/>
    </row>
    <row r="1336" ht="20.25" spans="1:22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  <c r="U1336" s="23"/>
      <c r="V1336" s="23"/>
    </row>
    <row r="1337" ht="20.25" spans="1:22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  <c r="U1337" s="23"/>
      <c r="V1337" s="23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327</v>
      </c>
      <c r="B1" s="2"/>
      <c r="C1" s="2"/>
      <c r="D1" s="2"/>
      <c r="E1" s="2"/>
      <c r="F1" s="2"/>
      <c r="G1" s="2"/>
      <c r="H1" s="2"/>
      <c r="I1" s="2"/>
      <c r="J1" s="2"/>
      <c r="K1" s="10" t="s">
        <v>475</v>
      </c>
      <c r="L1" s="11"/>
      <c r="M1" s="11"/>
      <c r="N1" s="11"/>
      <c r="O1" s="11"/>
      <c r="P1" s="11"/>
      <c r="Q1" s="11"/>
      <c r="R1" s="15"/>
    </row>
    <row r="2" ht="45" spans="1:18">
      <c r="A2" s="3" t="s">
        <v>329</v>
      </c>
      <c r="B2" s="4" t="s">
        <v>330</v>
      </c>
      <c r="C2" s="4" t="s">
        <v>331</v>
      </c>
      <c r="D2" s="4" t="s">
        <v>332</v>
      </c>
      <c r="E2" s="4" t="s">
        <v>333</v>
      </c>
      <c r="F2" s="4" t="s">
        <v>334</v>
      </c>
      <c r="G2" s="4" t="s">
        <v>335</v>
      </c>
      <c r="H2" s="4" t="s">
        <v>336</v>
      </c>
      <c r="I2" s="4" t="s">
        <v>337</v>
      </c>
      <c r="J2" s="4" t="s">
        <v>338</v>
      </c>
      <c r="K2" s="12" t="s">
        <v>339</v>
      </c>
      <c r="L2" s="12" t="s">
        <v>340</v>
      </c>
      <c r="M2" s="12" t="s">
        <v>341</v>
      </c>
      <c r="N2" s="12" t="s">
        <v>342</v>
      </c>
      <c r="O2" s="12" t="s">
        <v>343</v>
      </c>
      <c r="P2" s="12" t="s">
        <v>344</v>
      </c>
      <c r="Q2" s="12" t="s">
        <v>345</v>
      </c>
      <c r="R2" s="12" t="s">
        <v>346</v>
      </c>
    </row>
    <row r="3" ht="20.25" spans="1:18">
      <c r="A3" s="5" t="s">
        <v>476</v>
      </c>
      <c r="B3" s="5" t="s">
        <v>477</v>
      </c>
      <c r="C3" s="5">
        <v>8634.818</v>
      </c>
      <c r="D3" s="5">
        <v>9721.124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0.06</v>
      </c>
      <c r="K3" s="13">
        <v>0</v>
      </c>
      <c r="L3" s="13">
        <v>0</v>
      </c>
      <c r="M3" s="13">
        <v>0</v>
      </c>
      <c r="N3" s="13">
        <v>-1</v>
      </c>
      <c r="O3" s="13">
        <v>0</v>
      </c>
      <c r="P3" s="13">
        <v>1.349</v>
      </c>
      <c r="Q3" s="13">
        <v>-1</v>
      </c>
      <c r="R3" s="13">
        <v>0</v>
      </c>
    </row>
    <row r="4" ht="20.25" spans="1:18">
      <c r="A4" s="7" t="s">
        <v>478</v>
      </c>
      <c r="B4" s="7" t="s">
        <v>479</v>
      </c>
      <c r="C4" s="7">
        <v>10561.566</v>
      </c>
      <c r="D4" s="7">
        <v>14948.955</v>
      </c>
      <c r="E4" s="7">
        <v>0</v>
      </c>
      <c r="F4" s="7">
        <v>0</v>
      </c>
      <c r="G4" s="7">
        <v>0</v>
      </c>
      <c r="H4" s="7">
        <v>1</v>
      </c>
      <c r="I4" s="9">
        <v>12.528</v>
      </c>
      <c r="J4" s="9">
        <v>38.2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-138.355</v>
      </c>
      <c r="Q4" s="13">
        <v>0</v>
      </c>
      <c r="R4" s="13">
        <v>0</v>
      </c>
    </row>
    <row r="5" ht="20.25" spans="1:18">
      <c r="A5" s="7" t="s">
        <v>480</v>
      </c>
      <c r="B5" s="7" t="s">
        <v>481</v>
      </c>
      <c r="C5" s="7">
        <v>2885.682</v>
      </c>
      <c r="D5" s="7">
        <v>3854.153</v>
      </c>
      <c r="E5" s="7">
        <v>0</v>
      </c>
      <c r="F5" s="7">
        <v>0</v>
      </c>
      <c r="G5" s="7">
        <v>0</v>
      </c>
      <c r="H5" s="7">
        <v>1</v>
      </c>
      <c r="I5" s="9">
        <v>10.306</v>
      </c>
      <c r="J5" s="9">
        <v>32.844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-33.797</v>
      </c>
      <c r="Q5" s="13">
        <v>0</v>
      </c>
      <c r="R5" s="13">
        <v>0</v>
      </c>
    </row>
    <row r="6" ht="20.25" spans="1:18">
      <c r="A6" s="7" t="s">
        <v>482</v>
      </c>
      <c r="B6" s="7" t="s">
        <v>483</v>
      </c>
      <c r="C6" s="7">
        <v>2361.104</v>
      </c>
      <c r="D6" s="7">
        <v>3762.177</v>
      </c>
      <c r="E6" s="7">
        <v>0</v>
      </c>
      <c r="F6" s="7">
        <v>0</v>
      </c>
      <c r="G6" s="7">
        <v>0</v>
      </c>
      <c r="H6" s="7">
        <v>1</v>
      </c>
      <c r="I6" s="9">
        <v>12.892</v>
      </c>
      <c r="J6" s="9">
        <v>45.332</v>
      </c>
      <c r="K6" s="13">
        <v>3</v>
      </c>
      <c r="L6" s="13">
        <v>2</v>
      </c>
      <c r="M6" s="13">
        <v>0</v>
      </c>
      <c r="N6" s="13">
        <v>0</v>
      </c>
      <c r="O6" s="13">
        <v>0</v>
      </c>
      <c r="P6" s="13">
        <v>-26.937</v>
      </c>
      <c r="Q6" s="13">
        <v>0</v>
      </c>
      <c r="R6" s="13">
        <v>0</v>
      </c>
    </row>
    <row r="7" ht="20.25" spans="1:18">
      <c r="A7" s="7" t="s">
        <v>484</v>
      </c>
      <c r="B7" s="7" t="s">
        <v>485</v>
      </c>
      <c r="C7" s="7">
        <v>5448.251</v>
      </c>
      <c r="D7" s="7">
        <v>7508.941</v>
      </c>
      <c r="E7" s="7">
        <v>0</v>
      </c>
      <c r="F7" s="7">
        <v>0</v>
      </c>
      <c r="G7" s="7">
        <v>0</v>
      </c>
      <c r="H7" s="7">
        <v>1</v>
      </c>
      <c r="I7" s="6">
        <v>11.649</v>
      </c>
      <c r="J7" s="6">
        <v>35.895</v>
      </c>
      <c r="K7" s="13">
        <v>3</v>
      </c>
      <c r="L7" s="13">
        <v>2</v>
      </c>
      <c r="M7" s="13">
        <v>0</v>
      </c>
      <c r="N7" s="13">
        <v>0</v>
      </c>
      <c r="O7" s="13">
        <v>0</v>
      </c>
      <c r="P7" s="13">
        <v>-72.186</v>
      </c>
      <c r="Q7" s="13">
        <v>0</v>
      </c>
      <c r="R7" s="13">
        <v>1</v>
      </c>
    </row>
    <row r="8" ht="20.25" spans="1:18">
      <c r="A8" s="7" t="s">
        <v>486</v>
      </c>
      <c r="B8" s="7" t="s">
        <v>487</v>
      </c>
      <c r="C8" s="7">
        <v>2526.584</v>
      </c>
      <c r="D8" s="7">
        <v>2717.238</v>
      </c>
      <c r="E8" s="7">
        <v>0</v>
      </c>
      <c r="F8" s="7">
        <v>0</v>
      </c>
      <c r="G8" s="7">
        <v>0</v>
      </c>
      <c r="H8" s="7">
        <v>1</v>
      </c>
      <c r="I8" s="6">
        <v>0.686</v>
      </c>
      <c r="J8" s="6">
        <v>7.654</v>
      </c>
      <c r="K8" s="13">
        <v>4</v>
      </c>
      <c r="L8" s="13">
        <v>1</v>
      </c>
      <c r="M8" s="13">
        <v>0</v>
      </c>
      <c r="N8" s="13">
        <v>0</v>
      </c>
      <c r="O8" s="13">
        <v>0</v>
      </c>
      <c r="P8" s="13">
        <v>-2.392</v>
      </c>
      <c r="Q8" s="13">
        <v>0</v>
      </c>
      <c r="R8" s="13">
        <v>0</v>
      </c>
    </row>
    <row r="9" ht="20.25" spans="1:18">
      <c r="A9" s="7" t="s">
        <v>488</v>
      </c>
      <c r="B9" s="7" t="s">
        <v>489</v>
      </c>
      <c r="C9" s="7">
        <v>6433.985</v>
      </c>
      <c r="D9" s="7">
        <v>8974.258</v>
      </c>
      <c r="E9" s="7">
        <v>0</v>
      </c>
      <c r="F9" s="7">
        <v>0</v>
      </c>
      <c r="G9" s="7">
        <v>0</v>
      </c>
      <c r="H9" s="7">
        <v>1</v>
      </c>
      <c r="I9" s="6">
        <v>11.974</v>
      </c>
      <c r="J9" s="6">
        <v>36.891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-74.435</v>
      </c>
      <c r="Q9" s="13">
        <v>0</v>
      </c>
      <c r="R9" s="13">
        <v>1</v>
      </c>
    </row>
    <row r="10" ht="20.25" spans="1:18">
      <c r="A10" s="7" t="s">
        <v>490</v>
      </c>
      <c r="B10" s="7" t="s">
        <v>491</v>
      </c>
      <c r="C10" s="7">
        <v>3616.891</v>
      </c>
      <c r="D10" s="7">
        <v>4544.882</v>
      </c>
      <c r="E10" s="7">
        <v>0</v>
      </c>
      <c r="F10" s="7">
        <v>0</v>
      </c>
      <c r="G10" s="7">
        <v>0</v>
      </c>
      <c r="H10" s="7">
        <v>1</v>
      </c>
      <c r="I10" s="6">
        <v>9.788</v>
      </c>
      <c r="J10" s="6">
        <v>28.208</v>
      </c>
      <c r="K10" s="13">
        <v>3</v>
      </c>
      <c r="L10" s="13">
        <v>2</v>
      </c>
      <c r="M10" s="13">
        <v>0</v>
      </c>
      <c r="N10" s="13">
        <v>0</v>
      </c>
      <c r="O10" s="13">
        <v>0</v>
      </c>
      <c r="P10" s="13">
        <v>-23.224</v>
      </c>
      <c r="Q10" s="13">
        <v>0</v>
      </c>
      <c r="R10" s="13">
        <v>0</v>
      </c>
    </row>
    <row r="11" ht="20.25" spans="1:18">
      <c r="A11" s="7" t="s">
        <v>492</v>
      </c>
      <c r="B11" s="7" t="s">
        <v>493</v>
      </c>
      <c r="C11" s="7">
        <v>1218.651</v>
      </c>
      <c r="D11" s="7">
        <v>1288.496</v>
      </c>
      <c r="E11" s="7">
        <v>0</v>
      </c>
      <c r="F11" s="7">
        <v>0</v>
      </c>
      <c r="G11" s="7">
        <v>0</v>
      </c>
      <c r="H11" s="7">
        <v>1</v>
      </c>
      <c r="I11" s="6">
        <v>3.7</v>
      </c>
      <c r="J11" s="6">
        <v>8.92</v>
      </c>
      <c r="K11" s="13">
        <v>4</v>
      </c>
      <c r="L11" s="13">
        <v>0</v>
      </c>
      <c r="M11" s="13">
        <v>-1</v>
      </c>
      <c r="N11" s="13">
        <v>1</v>
      </c>
      <c r="O11" s="13">
        <v>0</v>
      </c>
      <c r="P11" s="13">
        <v>-1.367</v>
      </c>
      <c r="Q11" s="13">
        <v>0</v>
      </c>
      <c r="R11" s="13">
        <v>0</v>
      </c>
    </row>
    <row r="12" ht="20.25" spans="1:18">
      <c r="A12" s="7" t="s">
        <v>494</v>
      </c>
      <c r="B12" s="7" t="s">
        <v>495</v>
      </c>
      <c r="C12" s="7">
        <v>6268.299</v>
      </c>
      <c r="D12" s="7">
        <v>7867.845</v>
      </c>
      <c r="E12" s="7">
        <v>0</v>
      </c>
      <c r="F12" s="7">
        <v>0</v>
      </c>
      <c r="G12" s="7">
        <v>0</v>
      </c>
      <c r="H12" s="7">
        <v>1</v>
      </c>
      <c r="I12" s="6">
        <v>6.867</v>
      </c>
      <c r="J12" s="6">
        <v>25.801</v>
      </c>
      <c r="K12" s="13">
        <v>2</v>
      </c>
      <c r="L12" s="13">
        <v>2</v>
      </c>
      <c r="M12" s="13">
        <v>1</v>
      </c>
      <c r="N12" s="13">
        <v>-1</v>
      </c>
      <c r="O12" s="13">
        <v>0</v>
      </c>
      <c r="P12" s="13">
        <v>-92.722</v>
      </c>
      <c r="Q12" s="13">
        <v>0</v>
      </c>
      <c r="R12" s="13">
        <v>0</v>
      </c>
    </row>
    <row r="13" ht="20.25" spans="1:18">
      <c r="A13" s="7" t="s">
        <v>496</v>
      </c>
      <c r="B13" s="7" t="s">
        <v>497</v>
      </c>
      <c r="C13" s="7">
        <v>6147.524</v>
      </c>
      <c r="D13" s="7">
        <v>7815.378</v>
      </c>
      <c r="E13" s="7">
        <v>0</v>
      </c>
      <c r="F13" s="7">
        <v>0</v>
      </c>
      <c r="G13" s="7">
        <v>0</v>
      </c>
      <c r="H13" s="7">
        <v>1</v>
      </c>
      <c r="I13" s="6">
        <v>12.531</v>
      </c>
      <c r="J13" s="6">
        <v>31.197</v>
      </c>
      <c r="K13" s="13">
        <v>1</v>
      </c>
      <c r="L13" s="13">
        <v>2</v>
      </c>
      <c r="M13" s="13">
        <v>1</v>
      </c>
      <c r="N13" s="13">
        <v>0</v>
      </c>
      <c r="O13" s="13">
        <v>0</v>
      </c>
      <c r="P13" s="13">
        <v>-34.608</v>
      </c>
      <c r="Q13" s="13">
        <v>0</v>
      </c>
      <c r="R13" s="13">
        <v>0</v>
      </c>
    </row>
    <row r="14" ht="20.25" spans="1:18">
      <c r="A14" s="7" t="s">
        <v>498</v>
      </c>
      <c r="B14" s="7" t="s">
        <v>499</v>
      </c>
      <c r="C14" s="7">
        <v>6263.927</v>
      </c>
      <c r="D14" s="7">
        <v>7854.931</v>
      </c>
      <c r="E14" s="7">
        <v>0</v>
      </c>
      <c r="F14" s="7">
        <v>0</v>
      </c>
      <c r="G14" s="7">
        <v>0</v>
      </c>
      <c r="H14" s="7">
        <v>1</v>
      </c>
      <c r="I14" s="6">
        <v>6.777</v>
      </c>
      <c r="J14" s="6">
        <v>25.66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-38.104</v>
      </c>
      <c r="Q14" s="13">
        <v>0</v>
      </c>
      <c r="R14" s="13">
        <v>0</v>
      </c>
    </row>
    <row r="15" ht="20.25" spans="1:18">
      <c r="A15" s="7" t="s">
        <v>500</v>
      </c>
      <c r="B15" s="7" t="s">
        <v>501</v>
      </c>
      <c r="C15" s="7">
        <v>751.107</v>
      </c>
      <c r="D15" s="7">
        <v>816.608</v>
      </c>
      <c r="E15" s="7">
        <v>0</v>
      </c>
      <c r="F15" s="7">
        <v>0</v>
      </c>
      <c r="G15" s="7">
        <v>0</v>
      </c>
      <c r="H15" s="7">
        <v>1</v>
      </c>
      <c r="I15" s="6">
        <v>1.316</v>
      </c>
      <c r="J15" s="6">
        <v>9.232</v>
      </c>
      <c r="K15" s="13">
        <v>3</v>
      </c>
      <c r="L15" s="13">
        <v>0</v>
      </c>
      <c r="M15" s="13">
        <v>0</v>
      </c>
      <c r="N15" s="13">
        <v>0</v>
      </c>
      <c r="O15" s="13">
        <v>0</v>
      </c>
      <c r="P15" s="13">
        <v>0.636</v>
      </c>
      <c r="Q15" s="13">
        <v>0</v>
      </c>
      <c r="R15" s="13">
        <v>0</v>
      </c>
    </row>
    <row r="16" ht="20.25" spans="1:18">
      <c r="A16" s="7" t="s">
        <v>502</v>
      </c>
      <c r="B16" s="7" t="s">
        <v>503</v>
      </c>
      <c r="C16" s="7">
        <v>8274.4</v>
      </c>
      <c r="D16" s="7">
        <v>9531.473</v>
      </c>
      <c r="E16" s="7">
        <v>0</v>
      </c>
      <c r="F16" s="7">
        <v>0</v>
      </c>
      <c r="G16" s="7">
        <v>0</v>
      </c>
      <c r="H16" s="7">
        <v>1</v>
      </c>
      <c r="I16" s="6">
        <v>3.858</v>
      </c>
      <c r="J16" s="6">
        <v>16.538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-11.924</v>
      </c>
      <c r="Q16" s="13">
        <v>0</v>
      </c>
      <c r="R16" s="13">
        <v>0</v>
      </c>
    </row>
    <row r="17" ht="20.25" spans="1:18">
      <c r="A17" s="7" t="s">
        <v>504</v>
      </c>
      <c r="B17" s="7" t="s">
        <v>505</v>
      </c>
      <c r="C17" s="7">
        <v>4026.323</v>
      </c>
      <c r="D17" s="7">
        <v>5406.786</v>
      </c>
      <c r="E17" s="7">
        <v>0</v>
      </c>
      <c r="F17" s="7">
        <v>0</v>
      </c>
      <c r="G17" s="7">
        <v>0</v>
      </c>
      <c r="H17" s="7">
        <v>1</v>
      </c>
      <c r="I17" s="6">
        <v>14.137</v>
      </c>
      <c r="J17" s="6">
        <v>36.06</v>
      </c>
      <c r="K17" s="13">
        <v>3</v>
      </c>
      <c r="L17" s="13">
        <v>1</v>
      </c>
      <c r="M17" s="13">
        <v>1</v>
      </c>
      <c r="N17" s="13">
        <v>-1</v>
      </c>
      <c r="O17" s="13">
        <v>0</v>
      </c>
      <c r="P17" s="13">
        <v>-24.77</v>
      </c>
      <c r="Q17" s="13">
        <v>0</v>
      </c>
      <c r="R17" s="13">
        <v>0</v>
      </c>
    </row>
    <row r="18" ht="20.25" spans="1:18">
      <c r="A18" s="7" t="s">
        <v>506</v>
      </c>
      <c r="B18" s="7" t="s">
        <v>507</v>
      </c>
      <c r="C18" s="7">
        <v>6142.164</v>
      </c>
      <c r="D18" s="7">
        <v>7813.265</v>
      </c>
      <c r="E18" s="7">
        <v>0</v>
      </c>
      <c r="F18" s="7">
        <v>0</v>
      </c>
      <c r="G18" s="7">
        <v>0</v>
      </c>
      <c r="H18" s="7">
        <v>1</v>
      </c>
      <c r="I18" s="6">
        <v>12.623</v>
      </c>
      <c r="J18" s="6">
        <v>31.311</v>
      </c>
      <c r="K18" s="13">
        <v>2</v>
      </c>
      <c r="L18" s="13">
        <v>1</v>
      </c>
      <c r="M18" s="13">
        <v>1</v>
      </c>
      <c r="N18" s="13">
        <v>0</v>
      </c>
      <c r="O18" s="13">
        <v>0</v>
      </c>
      <c r="P18" s="13">
        <v>-31.775</v>
      </c>
      <c r="Q18" s="13">
        <v>0</v>
      </c>
      <c r="R18" s="13">
        <v>0</v>
      </c>
    </row>
    <row r="19" ht="20.25" spans="1:18">
      <c r="A19" s="7" t="s">
        <v>508</v>
      </c>
      <c r="B19" s="7" t="s">
        <v>509</v>
      </c>
      <c r="C19" s="7">
        <v>7703.273</v>
      </c>
      <c r="D19" s="7">
        <v>8543.827</v>
      </c>
      <c r="E19" s="7">
        <v>0</v>
      </c>
      <c r="F19" s="7">
        <v>0</v>
      </c>
      <c r="G19" s="7">
        <v>0</v>
      </c>
      <c r="H19" s="7">
        <v>1</v>
      </c>
      <c r="I19" s="6">
        <v>1.341</v>
      </c>
      <c r="J19" s="6">
        <v>11.048</v>
      </c>
      <c r="K19" s="13">
        <v>0</v>
      </c>
      <c r="L19" s="13">
        <v>1</v>
      </c>
      <c r="M19" s="13">
        <v>0</v>
      </c>
      <c r="N19" s="13">
        <v>0</v>
      </c>
      <c r="O19" s="13">
        <v>0</v>
      </c>
      <c r="P19" s="13">
        <v>-1.36</v>
      </c>
      <c r="Q19" s="13">
        <v>0</v>
      </c>
      <c r="R19" s="13">
        <v>0</v>
      </c>
    </row>
    <row r="20" ht="20.25" spans="1:18">
      <c r="A20" s="7" t="s">
        <v>510</v>
      </c>
      <c r="B20" s="7" t="s">
        <v>511</v>
      </c>
      <c r="C20" s="7">
        <v>19985.537</v>
      </c>
      <c r="D20" s="7">
        <v>21520.082</v>
      </c>
      <c r="E20" s="7">
        <v>0</v>
      </c>
      <c r="F20" s="7">
        <v>0</v>
      </c>
      <c r="G20" s="7">
        <v>0</v>
      </c>
      <c r="H20" s="7">
        <v>1</v>
      </c>
      <c r="I20" s="6">
        <v>0.416</v>
      </c>
      <c r="J20" s="6">
        <v>7.517</v>
      </c>
      <c r="K20" s="13">
        <v>4</v>
      </c>
      <c r="L20" s="13">
        <v>0</v>
      </c>
      <c r="M20" s="13">
        <v>0</v>
      </c>
      <c r="N20" s="13">
        <v>0</v>
      </c>
      <c r="O20" s="13">
        <v>0</v>
      </c>
      <c r="P20" s="13">
        <v>0.63</v>
      </c>
      <c r="Q20" s="13">
        <v>0</v>
      </c>
      <c r="R20" s="13">
        <v>0</v>
      </c>
    </row>
    <row r="21" ht="20.25" spans="1:18">
      <c r="A21" s="7" t="s">
        <v>512</v>
      </c>
      <c r="B21" s="7" t="s">
        <v>513</v>
      </c>
      <c r="C21" s="7">
        <v>2080.895</v>
      </c>
      <c r="D21" s="7">
        <v>2694.963</v>
      </c>
      <c r="E21" s="7">
        <v>0</v>
      </c>
      <c r="F21" s="7">
        <v>0</v>
      </c>
      <c r="G21" s="7">
        <v>0</v>
      </c>
      <c r="H21" s="7">
        <v>1</v>
      </c>
      <c r="I21" s="6">
        <v>15.253</v>
      </c>
      <c r="J21" s="6">
        <v>34.563</v>
      </c>
      <c r="K21" s="13">
        <v>4</v>
      </c>
      <c r="L21" s="13">
        <v>2</v>
      </c>
      <c r="M21" s="13">
        <v>0</v>
      </c>
      <c r="N21" s="13">
        <v>0</v>
      </c>
      <c r="O21" s="13">
        <v>0</v>
      </c>
      <c r="P21" s="13">
        <v>-16.144</v>
      </c>
      <c r="Q21" s="13">
        <v>0</v>
      </c>
      <c r="R21" s="13">
        <v>0</v>
      </c>
    </row>
    <row r="22" ht="20.25" spans="1:18">
      <c r="A22" s="7" t="s">
        <v>514</v>
      </c>
      <c r="B22" s="7" t="s">
        <v>515</v>
      </c>
      <c r="C22" s="7">
        <v>6118.083</v>
      </c>
      <c r="D22" s="7">
        <v>7517.642</v>
      </c>
      <c r="E22" s="7">
        <v>0</v>
      </c>
      <c r="F22" s="7">
        <v>0</v>
      </c>
      <c r="G22" s="7">
        <v>0</v>
      </c>
      <c r="H22" s="7">
        <v>1</v>
      </c>
      <c r="I22" s="6">
        <v>8.455</v>
      </c>
      <c r="J22" s="6">
        <v>25.498</v>
      </c>
      <c r="K22" s="13">
        <v>4</v>
      </c>
      <c r="L22" s="13">
        <v>2</v>
      </c>
      <c r="M22" s="13">
        <v>0</v>
      </c>
      <c r="N22" s="13">
        <v>0</v>
      </c>
      <c r="O22" s="13">
        <v>0</v>
      </c>
      <c r="P22" s="13">
        <v>-14.66</v>
      </c>
      <c r="Q22" s="13">
        <v>0</v>
      </c>
      <c r="R22" s="13">
        <v>0</v>
      </c>
    </row>
    <row r="23" ht="20.25" spans="1:18">
      <c r="A23" s="7" t="s">
        <v>516</v>
      </c>
      <c r="B23" s="7" t="s">
        <v>517</v>
      </c>
      <c r="C23" s="7">
        <v>5746.071</v>
      </c>
      <c r="D23" s="7">
        <v>7524.842</v>
      </c>
      <c r="E23" s="7">
        <v>0</v>
      </c>
      <c r="F23" s="7">
        <v>0</v>
      </c>
      <c r="G23" s="7">
        <v>0</v>
      </c>
      <c r="H23" s="7">
        <v>1</v>
      </c>
      <c r="I23" s="6">
        <v>13.308</v>
      </c>
      <c r="J23" s="6">
        <v>33.801</v>
      </c>
      <c r="K23" s="13">
        <v>3</v>
      </c>
      <c r="L23" s="13">
        <v>0</v>
      </c>
      <c r="M23" s="13">
        <v>0</v>
      </c>
      <c r="N23" s="13">
        <v>0</v>
      </c>
      <c r="O23" s="13">
        <v>0</v>
      </c>
      <c r="P23" s="13">
        <v>-37.544</v>
      </c>
      <c r="Q23" s="13">
        <v>0</v>
      </c>
      <c r="R23" s="13">
        <v>0</v>
      </c>
    </row>
    <row r="24" ht="20.25" spans="1:18">
      <c r="A24" s="7" t="s">
        <v>518</v>
      </c>
      <c r="B24" s="7" t="s">
        <v>519</v>
      </c>
      <c r="C24" s="7">
        <v>5684.233</v>
      </c>
      <c r="D24" s="7">
        <v>7376.067</v>
      </c>
      <c r="E24" s="7">
        <v>0</v>
      </c>
      <c r="F24" s="7">
        <v>0</v>
      </c>
      <c r="G24" s="7">
        <v>0</v>
      </c>
      <c r="H24" s="7">
        <v>1</v>
      </c>
      <c r="I24" s="6">
        <v>11.175</v>
      </c>
      <c r="J24" s="6">
        <v>31.548</v>
      </c>
      <c r="K24" s="13">
        <v>4</v>
      </c>
      <c r="L24" s="13">
        <v>1</v>
      </c>
      <c r="M24" s="13">
        <v>0</v>
      </c>
      <c r="N24" s="13">
        <v>0</v>
      </c>
      <c r="O24" s="13">
        <v>0</v>
      </c>
      <c r="P24" s="13">
        <v>-5.493</v>
      </c>
      <c r="Q24" s="13">
        <v>0</v>
      </c>
      <c r="R24" s="13">
        <v>1</v>
      </c>
    </row>
    <row r="25" ht="20.25" spans="1:18">
      <c r="A25" s="7" t="s">
        <v>520</v>
      </c>
      <c r="B25" s="7" t="s">
        <v>521</v>
      </c>
      <c r="C25" s="7">
        <v>6861.422</v>
      </c>
      <c r="D25" s="7">
        <v>8768.424</v>
      </c>
      <c r="E25" s="7">
        <v>0</v>
      </c>
      <c r="F25" s="7">
        <v>0</v>
      </c>
      <c r="G25" s="7">
        <v>0</v>
      </c>
      <c r="H25" s="7">
        <v>1</v>
      </c>
      <c r="I25" s="6">
        <v>6.976</v>
      </c>
      <c r="J25" s="6">
        <v>27.207</v>
      </c>
      <c r="K25" s="13">
        <v>4</v>
      </c>
      <c r="L25" s="13">
        <v>1</v>
      </c>
      <c r="M25" s="13">
        <v>0</v>
      </c>
      <c r="N25" s="13">
        <v>0</v>
      </c>
      <c r="O25" s="13">
        <v>0</v>
      </c>
      <c r="P25" s="13">
        <v>-32.958</v>
      </c>
      <c r="Q25" s="13">
        <v>0</v>
      </c>
      <c r="R25" s="13">
        <v>0</v>
      </c>
    </row>
    <row r="26" ht="20.25" spans="1:18">
      <c r="A26" s="7" t="s">
        <v>522</v>
      </c>
      <c r="B26" s="7" t="s">
        <v>523</v>
      </c>
      <c r="C26" s="7">
        <v>5680.899</v>
      </c>
      <c r="D26" s="7">
        <v>6274.987</v>
      </c>
      <c r="E26" s="7">
        <v>0</v>
      </c>
      <c r="F26" s="7">
        <v>0</v>
      </c>
      <c r="G26" s="7">
        <v>0</v>
      </c>
      <c r="H26" s="7">
        <v>1</v>
      </c>
      <c r="I26" s="6">
        <v>3.491</v>
      </c>
      <c r="J26" s="6">
        <v>12.628</v>
      </c>
      <c r="K26" s="13">
        <v>3</v>
      </c>
      <c r="L26" s="13">
        <v>0</v>
      </c>
      <c r="M26" s="13">
        <v>0</v>
      </c>
      <c r="N26" s="13">
        <v>0</v>
      </c>
      <c r="O26" s="13">
        <v>0</v>
      </c>
      <c r="P26" s="13">
        <v>-3.022</v>
      </c>
      <c r="Q26" s="13">
        <v>0</v>
      </c>
      <c r="R26" s="13">
        <v>0</v>
      </c>
    </row>
    <row r="27" ht="20.25" spans="1:18">
      <c r="A27" s="7" t="s">
        <v>524</v>
      </c>
      <c r="B27" s="7" t="s">
        <v>525</v>
      </c>
      <c r="C27" s="7">
        <v>4714.751</v>
      </c>
      <c r="D27" s="7">
        <v>6107.891</v>
      </c>
      <c r="E27" s="7">
        <v>0</v>
      </c>
      <c r="F27" s="7">
        <v>0</v>
      </c>
      <c r="G27" s="7">
        <v>0</v>
      </c>
      <c r="H27" s="7">
        <v>1</v>
      </c>
      <c r="I27" s="6">
        <v>9.163</v>
      </c>
      <c r="J27" s="6">
        <v>29.882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-8.216</v>
      </c>
      <c r="Q27" s="13">
        <v>0</v>
      </c>
      <c r="R27" s="13">
        <v>1</v>
      </c>
    </row>
    <row r="28" ht="20.25" spans="1:18">
      <c r="A28" s="7" t="s">
        <v>526</v>
      </c>
      <c r="B28" s="7" t="s">
        <v>527</v>
      </c>
      <c r="C28" s="7">
        <v>2851.566</v>
      </c>
      <c r="D28" s="7">
        <v>4482.365</v>
      </c>
      <c r="E28" s="7">
        <v>0</v>
      </c>
      <c r="F28" s="7">
        <v>0</v>
      </c>
      <c r="G28" s="7">
        <v>0</v>
      </c>
      <c r="H28" s="7">
        <v>1</v>
      </c>
      <c r="I28" s="6">
        <v>11.363</v>
      </c>
      <c r="J28" s="6">
        <v>43.612</v>
      </c>
      <c r="K28" s="14">
        <v>3</v>
      </c>
      <c r="L28" s="13">
        <v>1</v>
      </c>
      <c r="M28" s="13">
        <v>0</v>
      </c>
      <c r="N28" s="13">
        <v>0</v>
      </c>
      <c r="O28" s="13">
        <v>0</v>
      </c>
      <c r="P28" s="13">
        <v>-17.484</v>
      </c>
      <c r="Q28" s="13">
        <v>0</v>
      </c>
      <c r="R28" s="13">
        <v>0</v>
      </c>
    </row>
    <row r="29" ht="20.25" spans="1:18">
      <c r="A29" s="7" t="s">
        <v>528</v>
      </c>
      <c r="B29" s="7" t="s">
        <v>529</v>
      </c>
      <c r="C29" s="7">
        <v>419.403</v>
      </c>
      <c r="D29" s="7">
        <v>628.898</v>
      </c>
      <c r="E29" s="7">
        <v>0</v>
      </c>
      <c r="F29" s="7">
        <v>0</v>
      </c>
      <c r="G29" s="7">
        <v>0</v>
      </c>
      <c r="H29" s="7">
        <v>1</v>
      </c>
      <c r="I29" s="6">
        <v>10.464</v>
      </c>
      <c r="J29" s="6">
        <v>40.29</v>
      </c>
      <c r="K29" s="14">
        <v>3</v>
      </c>
      <c r="L29" s="13">
        <v>2</v>
      </c>
      <c r="M29" s="13">
        <v>0</v>
      </c>
      <c r="N29" s="13">
        <v>0</v>
      </c>
      <c r="O29" s="13">
        <v>0</v>
      </c>
      <c r="P29" s="13">
        <v>-4.633</v>
      </c>
      <c r="Q29" s="13">
        <v>0</v>
      </c>
      <c r="R29" s="13">
        <v>0</v>
      </c>
    </row>
    <row r="30" ht="20.25" spans="1:18">
      <c r="A30" s="8" t="s">
        <v>530</v>
      </c>
      <c r="B30" s="8" t="s">
        <v>531</v>
      </c>
      <c r="C30" s="8">
        <v>5147.984</v>
      </c>
      <c r="D30" s="8">
        <v>5698.327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4">
        <v>0</v>
      </c>
      <c r="L30" s="13">
        <v>0</v>
      </c>
      <c r="M30" s="13">
        <v>0</v>
      </c>
      <c r="N30" s="13">
        <v>-1</v>
      </c>
      <c r="O30" s="13">
        <v>0</v>
      </c>
      <c r="P30" s="13">
        <v>-4.983</v>
      </c>
      <c r="Q30" s="13">
        <v>0</v>
      </c>
      <c r="R30" s="13">
        <v>0</v>
      </c>
    </row>
    <row r="31" ht="20.25" spans="1:18">
      <c r="A31" s="8" t="s">
        <v>532</v>
      </c>
      <c r="B31" s="8" t="s">
        <v>533</v>
      </c>
      <c r="C31" s="8">
        <v>241.188</v>
      </c>
      <c r="D31" s="8">
        <v>309.187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4">
        <v>1</v>
      </c>
      <c r="L31" s="13">
        <v>1</v>
      </c>
      <c r="M31" s="13">
        <v>1</v>
      </c>
      <c r="N31" s="13">
        <v>0</v>
      </c>
      <c r="O31" s="13">
        <v>0</v>
      </c>
      <c r="P31" s="13">
        <v>0.068</v>
      </c>
      <c r="Q31" s="13">
        <v>0</v>
      </c>
      <c r="R31" s="13">
        <v>0</v>
      </c>
    </row>
    <row r="32" ht="20.25" spans="1:18">
      <c r="A32" s="8" t="s">
        <v>534</v>
      </c>
      <c r="B32" s="8" t="s">
        <v>535</v>
      </c>
      <c r="C32" s="8">
        <v>11003.044</v>
      </c>
      <c r="D32" s="8">
        <v>12634.764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4">
        <v>0</v>
      </c>
      <c r="L32" s="13">
        <v>0</v>
      </c>
      <c r="M32" s="13">
        <v>1</v>
      </c>
      <c r="N32" s="13">
        <v>-1</v>
      </c>
      <c r="O32" s="13">
        <v>0</v>
      </c>
      <c r="P32" s="13">
        <v>3.377</v>
      </c>
      <c r="Q32" s="13">
        <v>0</v>
      </c>
      <c r="R32" s="13">
        <v>0</v>
      </c>
    </row>
    <row r="33" ht="20.25" spans="1:18">
      <c r="A33" s="8" t="s">
        <v>536</v>
      </c>
      <c r="B33" s="8" t="s">
        <v>537</v>
      </c>
      <c r="C33" s="8">
        <v>1016.473</v>
      </c>
      <c r="D33" s="8">
        <v>1184.513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0</v>
      </c>
      <c r="L33" s="13">
        <v>1</v>
      </c>
      <c r="M33" s="13">
        <v>1</v>
      </c>
      <c r="N33" s="13">
        <v>-1</v>
      </c>
      <c r="O33" s="13">
        <v>0</v>
      </c>
      <c r="P33" s="13">
        <v>-1.977</v>
      </c>
      <c r="Q33" s="13">
        <v>0</v>
      </c>
      <c r="R33" s="13">
        <v>0</v>
      </c>
    </row>
    <row r="34" ht="20.25" spans="1:18">
      <c r="A34" s="8" t="s">
        <v>538</v>
      </c>
      <c r="B34" s="8" t="s">
        <v>539</v>
      </c>
      <c r="C34" s="8">
        <v>2627.982</v>
      </c>
      <c r="D34" s="8">
        <v>3237.309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2</v>
      </c>
      <c r="L34" s="13">
        <v>0</v>
      </c>
      <c r="M34" s="13">
        <v>1</v>
      </c>
      <c r="N34" s="13">
        <v>-1</v>
      </c>
      <c r="O34" s="13">
        <v>0</v>
      </c>
      <c r="P34" s="13">
        <v>7.748</v>
      </c>
      <c r="Q34" s="13">
        <v>0</v>
      </c>
      <c r="R34" s="13">
        <v>0</v>
      </c>
    </row>
    <row r="35" ht="20.25" spans="1:18">
      <c r="A35" s="8" t="s">
        <v>540</v>
      </c>
      <c r="B35" s="8" t="s">
        <v>541</v>
      </c>
      <c r="C35" s="8">
        <v>2544.073</v>
      </c>
      <c r="D35" s="8">
        <v>3003.527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4</v>
      </c>
      <c r="L35" s="13">
        <v>0</v>
      </c>
      <c r="M35" s="13">
        <v>0</v>
      </c>
      <c r="N35" s="13">
        <v>1</v>
      </c>
      <c r="O35" s="13">
        <v>0</v>
      </c>
      <c r="P35" s="13">
        <v>3.728</v>
      </c>
      <c r="Q35" s="13">
        <v>0</v>
      </c>
      <c r="R35" s="13">
        <v>0</v>
      </c>
    </row>
    <row r="36" ht="20.25" spans="1:18">
      <c r="A36" s="8" t="s">
        <v>542</v>
      </c>
      <c r="B36" s="8" t="s">
        <v>543</v>
      </c>
      <c r="C36" s="8">
        <v>967.581</v>
      </c>
      <c r="D36" s="8">
        <v>1188.864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4</v>
      </c>
      <c r="L36" s="13">
        <v>0</v>
      </c>
      <c r="M36" s="13">
        <v>0</v>
      </c>
      <c r="N36" s="13">
        <v>0</v>
      </c>
      <c r="O36" s="13">
        <v>0</v>
      </c>
      <c r="P36" s="13">
        <v>3.163</v>
      </c>
      <c r="Q36" s="13">
        <v>0</v>
      </c>
      <c r="R36" s="13">
        <v>1</v>
      </c>
    </row>
    <row r="37" ht="20.25" spans="1:18">
      <c r="A37" s="8" t="s">
        <v>544</v>
      </c>
      <c r="B37" s="8" t="s">
        <v>545</v>
      </c>
      <c r="C37" s="8">
        <v>2872.688</v>
      </c>
      <c r="D37" s="8">
        <v>3151.597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1</v>
      </c>
      <c r="L37" s="13">
        <v>0</v>
      </c>
      <c r="M37" s="13">
        <v>0</v>
      </c>
      <c r="N37" s="13">
        <v>0</v>
      </c>
      <c r="O37" s="13">
        <v>0</v>
      </c>
      <c r="P37" s="13">
        <v>1.349</v>
      </c>
      <c r="Q37" s="13">
        <v>0</v>
      </c>
      <c r="R37" s="13">
        <v>0</v>
      </c>
    </row>
    <row r="38" ht="20.25" spans="1:18">
      <c r="A38" s="8" t="s">
        <v>546</v>
      </c>
      <c r="B38" s="8" t="s">
        <v>547</v>
      </c>
      <c r="C38" s="8">
        <v>43228.438</v>
      </c>
      <c r="D38" s="8">
        <v>61601.184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0</v>
      </c>
      <c r="L38" s="13">
        <v>0</v>
      </c>
      <c r="M38" s="13">
        <v>1</v>
      </c>
      <c r="N38" s="13">
        <v>-1</v>
      </c>
      <c r="O38" s="13">
        <v>0</v>
      </c>
      <c r="P38" s="13">
        <v>114.699</v>
      </c>
      <c r="Q38" s="13">
        <v>0</v>
      </c>
      <c r="R38" s="13">
        <v>0</v>
      </c>
    </row>
    <row r="39" ht="20.25" spans="1:18">
      <c r="A39" s="8" t="s">
        <v>548</v>
      </c>
      <c r="B39" s="8" t="s">
        <v>549</v>
      </c>
      <c r="C39" s="8">
        <v>363.681</v>
      </c>
      <c r="D39" s="8">
        <v>574.577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0</v>
      </c>
      <c r="L39" s="13">
        <v>1</v>
      </c>
      <c r="M39" s="13">
        <v>0</v>
      </c>
      <c r="N39" s="13">
        <v>0</v>
      </c>
      <c r="O39" s="13">
        <v>0</v>
      </c>
      <c r="P39" s="13">
        <v>-0.09</v>
      </c>
      <c r="Q39" s="13">
        <v>0</v>
      </c>
      <c r="R39" s="13">
        <v>0</v>
      </c>
    </row>
    <row r="40" ht="20.25" spans="1:18">
      <c r="A40" s="9" t="s">
        <v>550</v>
      </c>
      <c r="B40" s="9" t="s">
        <v>551</v>
      </c>
      <c r="C40" s="9">
        <v>20774.125</v>
      </c>
      <c r="D40" s="9">
        <v>24318.58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12.067</v>
      </c>
      <c r="K40" s="14">
        <v>3</v>
      </c>
      <c r="L40" s="13">
        <v>2</v>
      </c>
      <c r="M40" s="13">
        <v>0</v>
      </c>
      <c r="N40" s="13">
        <v>0</v>
      </c>
      <c r="O40" s="13">
        <v>0</v>
      </c>
      <c r="P40" s="13">
        <v>-18.498</v>
      </c>
      <c r="Q40" s="13">
        <v>0</v>
      </c>
      <c r="R40" s="13">
        <v>0</v>
      </c>
    </row>
    <row r="41" ht="20.25" spans="1:18">
      <c r="A41" s="9" t="s">
        <v>552</v>
      </c>
      <c r="B41" s="9" t="s">
        <v>553</v>
      </c>
      <c r="C41" s="9">
        <v>12903.865</v>
      </c>
      <c r="D41" s="9">
        <v>30037.824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28.885</v>
      </c>
      <c r="K41" s="14">
        <v>2</v>
      </c>
      <c r="L41" s="13">
        <v>2</v>
      </c>
      <c r="M41" s="13">
        <v>0</v>
      </c>
      <c r="N41" s="13">
        <v>0</v>
      </c>
      <c r="O41" s="13">
        <v>0</v>
      </c>
      <c r="P41" s="13">
        <v>41.454</v>
      </c>
      <c r="Q41" s="13">
        <v>0</v>
      </c>
      <c r="R41" s="13">
        <v>0</v>
      </c>
    </row>
    <row r="42" ht="20.25" spans="1:18">
      <c r="A42" s="9" t="s">
        <v>554</v>
      </c>
      <c r="B42" s="9" t="s">
        <v>555</v>
      </c>
      <c r="C42" s="9">
        <v>21896.172</v>
      </c>
      <c r="D42" s="9">
        <v>26109.887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11.584</v>
      </c>
      <c r="K42" s="14">
        <v>3</v>
      </c>
      <c r="L42" s="13">
        <v>2</v>
      </c>
      <c r="M42" s="13">
        <v>0</v>
      </c>
      <c r="N42" s="13">
        <v>0</v>
      </c>
      <c r="O42" s="13">
        <v>0</v>
      </c>
      <c r="P42" s="13">
        <v>5.912</v>
      </c>
      <c r="Q42" s="13">
        <v>0</v>
      </c>
      <c r="R42" s="13">
        <v>0</v>
      </c>
    </row>
    <row r="43" ht="20.25" spans="1:18">
      <c r="A43" s="9" t="s">
        <v>556</v>
      </c>
      <c r="B43" s="9" t="s">
        <v>557</v>
      </c>
      <c r="C43" s="9">
        <v>2571.678</v>
      </c>
      <c r="D43" s="9">
        <v>3032.562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6.924</v>
      </c>
      <c r="K43" s="14">
        <v>0</v>
      </c>
      <c r="L43" s="13">
        <v>0</v>
      </c>
      <c r="M43" s="13">
        <v>1</v>
      </c>
      <c r="N43" s="13">
        <v>-1</v>
      </c>
      <c r="O43" s="13">
        <v>0</v>
      </c>
      <c r="P43" s="13">
        <v>-2.644</v>
      </c>
      <c r="Q43" s="13">
        <v>-1</v>
      </c>
      <c r="R43" s="13">
        <v>0</v>
      </c>
    </row>
    <row r="44" ht="20.25" spans="1:18">
      <c r="A44" s="9" t="s">
        <v>558</v>
      </c>
      <c r="B44" s="9" t="s">
        <v>559</v>
      </c>
      <c r="C44" s="9">
        <v>935.856</v>
      </c>
      <c r="D44" s="9">
        <v>1217.18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10.414</v>
      </c>
      <c r="K44" s="14">
        <v>1</v>
      </c>
      <c r="L44" s="13">
        <v>2</v>
      </c>
      <c r="M44" s="13">
        <v>0</v>
      </c>
      <c r="N44" s="13">
        <v>0</v>
      </c>
      <c r="O44" s="13">
        <v>0</v>
      </c>
      <c r="P44" s="13">
        <v>2.771</v>
      </c>
      <c r="Q44" s="13">
        <v>0</v>
      </c>
      <c r="R44" s="13">
        <v>-1</v>
      </c>
    </row>
    <row r="45" ht="20.25" spans="1:18">
      <c r="A45" s="9" t="s">
        <v>560</v>
      </c>
      <c r="B45" s="9" t="s">
        <v>561</v>
      </c>
      <c r="C45" s="9">
        <v>88796.047</v>
      </c>
      <c r="D45" s="9">
        <v>112440.141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8.06</v>
      </c>
      <c r="K45" s="14">
        <v>1</v>
      </c>
      <c r="L45" s="13">
        <v>1</v>
      </c>
      <c r="M45" s="13">
        <v>0</v>
      </c>
      <c r="N45" s="13">
        <v>0</v>
      </c>
      <c r="O45" s="13">
        <v>0</v>
      </c>
      <c r="P45" s="13">
        <v>145.516</v>
      </c>
      <c r="Q45" s="13">
        <v>0</v>
      </c>
      <c r="R45" s="13">
        <v>0</v>
      </c>
    </row>
    <row r="46" ht="20.25" spans="1:18">
      <c r="A46" s="9" t="s">
        <v>562</v>
      </c>
      <c r="B46" s="9" t="s">
        <v>563</v>
      </c>
      <c r="C46" s="9">
        <v>3204.652</v>
      </c>
      <c r="D46" s="9">
        <v>3367.419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2.476</v>
      </c>
      <c r="K46" s="14">
        <v>0</v>
      </c>
      <c r="L46" s="13">
        <v>2</v>
      </c>
      <c r="M46" s="13">
        <v>0</v>
      </c>
      <c r="N46" s="13">
        <v>0</v>
      </c>
      <c r="O46" s="13">
        <v>0</v>
      </c>
      <c r="P46" s="13">
        <v>-3.993</v>
      </c>
      <c r="Q46" s="13">
        <v>0</v>
      </c>
      <c r="R46" s="13">
        <v>0</v>
      </c>
    </row>
    <row r="47" ht="20.25" spans="1:18">
      <c r="A47" s="9" t="s">
        <v>564</v>
      </c>
      <c r="B47" s="9" t="s">
        <v>565</v>
      </c>
      <c r="C47" s="9">
        <v>116233.047</v>
      </c>
      <c r="D47" s="9">
        <v>153416.25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13.652</v>
      </c>
      <c r="K47" s="14">
        <v>0</v>
      </c>
      <c r="L47" s="13">
        <v>1</v>
      </c>
      <c r="M47" s="13">
        <v>0</v>
      </c>
      <c r="N47" s="13">
        <v>0</v>
      </c>
      <c r="O47" s="13">
        <v>0</v>
      </c>
      <c r="P47" s="13">
        <v>24.157</v>
      </c>
      <c r="Q47" s="13">
        <v>0</v>
      </c>
      <c r="R47" s="13">
        <v>-1</v>
      </c>
    </row>
    <row r="48" ht="20.25" spans="1:18">
      <c r="A48" s="9" t="s">
        <v>566</v>
      </c>
      <c r="B48" s="9" t="s">
        <v>567</v>
      </c>
      <c r="C48" s="9">
        <v>3966.778</v>
      </c>
      <c r="D48" s="9">
        <v>4327.607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2.248</v>
      </c>
      <c r="K48" s="14">
        <v>0</v>
      </c>
      <c r="L48" s="13">
        <v>2</v>
      </c>
      <c r="M48" s="13">
        <v>0</v>
      </c>
      <c r="N48" s="13">
        <v>0</v>
      </c>
      <c r="O48" s="13">
        <v>0</v>
      </c>
      <c r="P48" s="13">
        <v>-3.233</v>
      </c>
      <c r="Q48" s="13">
        <v>-1</v>
      </c>
      <c r="R48" s="13">
        <v>0</v>
      </c>
    </row>
    <row r="49" ht="20.25" spans="1:18">
      <c r="A49" s="9" t="s">
        <v>568</v>
      </c>
      <c r="B49" s="9" t="s">
        <v>569</v>
      </c>
      <c r="C49" s="9">
        <v>16132.922</v>
      </c>
      <c r="D49" s="9">
        <v>17917.754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3.655</v>
      </c>
      <c r="K49" s="14">
        <v>1</v>
      </c>
      <c r="L49" s="13">
        <v>2</v>
      </c>
      <c r="M49" s="13">
        <v>0</v>
      </c>
      <c r="N49" s="13">
        <v>1</v>
      </c>
      <c r="O49" s="13">
        <v>0</v>
      </c>
      <c r="P49" s="13">
        <v>12.844</v>
      </c>
      <c r="Q49" s="13">
        <v>0</v>
      </c>
      <c r="R49" s="13">
        <v>0</v>
      </c>
    </row>
    <row r="50" ht="20.25" spans="1:18">
      <c r="A50" s="9" t="s">
        <v>570</v>
      </c>
      <c r="B50" s="9" t="s">
        <v>571</v>
      </c>
      <c r="C50" s="9">
        <v>3017.291</v>
      </c>
      <c r="D50" s="9">
        <v>3197.927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2.605</v>
      </c>
      <c r="K50" s="14">
        <v>0</v>
      </c>
      <c r="L50" s="13">
        <v>2</v>
      </c>
      <c r="M50" s="13">
        <v>1</v>
      </c>
      <c r="N50" s="13">
        <v>0</v>
      </c>
      <c r="O50" s="13">
        <v>0</v>
      </c>
      <c r="P50" s="13">
        <v>-5.639</v>
      </c>
      <c r="Q50" s="13">
        <v>-1</v>
      </c>
      <c r="R50" s="13">
        <v>0</v>
      </c>
    </row>
    <row r="51" ht="20.25" spans="1:18">
      <c r="A51" s="9" t="s">
        <v>572</v>
      </c>
      <c r="B51" s="9" t="s">
        <v>573</v>
      </c>
      <c r="C51" s="9">
        <v>15025.94</v>
      </c>
      <c r="D51" s="9">
        <v>17133.363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9.4</v>
      </c>
      <c r="K51" s="14">
        <v>2</v>
      </c>
      <c r="L51" s="13">
        <v>1</v>
      </c>
      <c r="M51" s="13">
        <v>0</v>
      </c>
      <c r="N51" s="13">
        <v>0</v>
      </c>
      <c r="O51" s="13">
        <v>0</v>
      </c>
      <c r="P51" s="13">
        <v>13.369</v>
      </c>
      <c r="Q51" s="13">
        <v>0</v>
      </c>
      <c r="R51" s="13">
        <v>1</v>
      </c>
    </row>
    <row r="52" ht="20.25" spans="1:18">
      <c r="A52" s="9" t="s">
        <v>574</v>
      </c>
      <c r="B52" s="9" t="s">
        <v>575</v>
      </c>
      <c r="C52" s="9">
        <v>303167.125</v>
      </c>
      <c r="D52" s="9">
        <v>462045.656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17.492</v>
      </c>
      <c r="K52" s="14">
        <v>2</v>
      </c>
      <c r="L52" s="13">
        <v>2</v>
      </c>
      <c r="M52" s="13">
        <v>0</v>
      </c>
      <c r="N52" s="13">
        <v>0</v>
      </c>
      <c r="O52" s="13">
        <v>0</v>
      </c>
      <c r="P52" s="13">
        <v>479.381</v>
      </c>
      <c r="Q52" s="13">
        <v>0</v>
      </c>
      <c r="R52" s="13">
        <v>0</v>
      </c>
    </row>
    <row r="53" ht="20.25" spans="1:18">
      <c r="A53" s="9" t="s">
        <v>576</v>
      </c>
      <c r="B53" s="9" t="s">
        <v>577</v>
      </c>
      <c r="C53" s="9">
        <v>12682.61</v>
      </c>
      <c r="D53" s="9">
        <v>14986.572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10.717</v>
      </c>
      <c r="K53" s="14">
        <v>1</v>
      </c>
      <c r="L53" s="13">
        <v>1</v>
      </c>
      <c r="M53" s="13">
        <v>0</v>
      </c>
      <c r="N53" s="13">
        <v>0</v>
      </c>
      <c r="O53" s="13">
        <v>0</v>
      </c>
      <c r="P53" s="13">
        <v>-9.73</v>
      </c>
      <c r="Q53" s="13">
        <v>-1</v>
      </c>
      <c r="R53" s="13">
        <v>-1</v>
      </c>
    </row>
    <row r="54" ht="20.25" spans="1:18">
      <c r="A54" s="9" t="s">
        <v>578</v>
      </c>
      <c r="B54" s="9" t="s">
        <v>579</v>
      </c>
      <c r="C54" s="9">
        <v>3064.867</v>
      </c>
      <c r="D54" s="9">
        <v>3542.6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7.824</v>
      </c>
      <c r="K54" s="14">
        <v>0</v>
      </c>
      <c r="L54" s="13">
        <v>0</v>
      </c>
      <c r="M54" s="13">
        <v>0</v>
      </c>
      <c r="N54" s="13">
        <v>0</v>
      </c>
      <c r="O54" s="13">
        <v>0</v>
      </c>
      <c r="P54" s="13">
        <v>7.881</v>
      </c>
      <c r="Q54" s="13">
        <v>0</v>
      </c>
      <c r="R54" s="13">
        <v>0</v>
      </c>
    </row>
    <row r="55" ht="20.25" spans="1:18">
      <c r="A55" s="9" t="s">
        <v>580</v>
      </c>
      <c r="B55" s="9" t="s">
        <v>581</v>
      </c>
      <c r="C55" s="9">
        <v>22524.146</v>
      </c>
      <c r="D55" s="9">
        <v>26650.52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5.361</v>
      </c>
      <c r="K55" s="14">
        <v>2</v>
      </c>
      <c r="L55" s="13">
        <v>2</v>
      </c>
      <c r="M55" s="13">
        <v>0</v>
      </c>
      <c r="N55" s="13">
        <v>0</v>
      </c>
      <c r="O55" s="13">
        <v>0</v>
      </c>
      <c r="P55" s="13">
        <v>7.485</v>
      </c>
      <c r="Q55" s="13">
        <v>0</v>
      </c>
      <c r="R55" s="13">
        <v>0</v>
      </c>
    </row>
    <row r="56" ht="20.25" spans="1:18">
      <c r="A56" s="9" t="s">
        <v>582</v>
      </c>
      <c r="B56" s="9" t="s">
        <v>583</v>
      </c>
      <c r="C56" s="9">
        <v>4090.52</v>
      </c>
      <c r="D56" s="9">
        <v>4696.709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10.804</v>
      </c>
      <c r="K56" s="14">
        <v>3</v>
      </c>
      <c r="L56" s="13">
        <v>1</v>
      </c>
      <c r="M56" s="13">
        <v>0</v>
      </c>
      <c r="N56" s="13">
        <v>0</v>
      </c>
      <c r="O56" s="13">
        <v>0</v>
      </c>
      <c r="P56" s="13">
        <v>6.561</v>
      </c>
      <c r="Q56" s="13">
        <v>0</v>
      </c>
      <c r="R56" s="13">
        <v>0</v>
      </c>
    </row>
    <row r="57" ht="20.25" spans="1:18">
      <c r="A57" s="6" t="s">
        <v>584</v>
      </c>
      <c r="B57" s="6" t="s">
        <v>585</v>
      </c>
      <c r="C57" s="6">
        <v>3372.117</v>
      </c>
      <c r="D57" s="6">
        <v>3733.182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8.242</v>
      </c>
      <c r="K57" s="14">
        <v>3</v>
      </c>
      <c r="L57" s="13">
        <v>1</v>
      </c>
      <c r="M57" s="13">
        <v>1</v>
      </c>
      <c r="N57" s="13">
        <v>0</v>
      </c>
      <c r="O57" s="13">
        <v>0</v>
      </c>
      <c r="P57" s="13">
        <v>0.88</v>
      </c>
      <c r="Q57" s="13">
        <v>0</v>
      </c>
      <c r="R57" s="13">
        <v>0</v>
      </c>
    </row>
    <row r="58" ht="20.25" spans="1:18">
      <c r="A58" s="6" t="s">
        <v>586</v>
      </c>
      <c r="B58" s="6" t="s">
        <v>587</v>
      </c>
      <c r="C58" s="6">
        <v>2171.285</v>
      </c>
      <c r="D58" s="6">
        <v>2373.716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7.605</v>
      </c>
      <c r="K58" s="14">
        <v>3</v>
      </c>
      <c r="L58" s="13">
        <v>0</v>
      </c>
      <c r="M58" s="13">
        <v>1</v>
      </c>
      <c r="N58" s="13">
        <v>0</v>
      </c>
      <c r="O58" s="13">
        <v>0</v>
      </c>
      <c r="P58" s="13">
        <v>0.502</v>
      </c>
      <c r="Q58" s="13">
        <v>0</v>
      </c>
      <c r="R58" s="13">
        <v>0</v>
      </c>
    </row>
    <row r="59" ht="20.25" spans="1:18">
      <c r="A59" s="6" t="s">
        <v>588</v>
      </c>
      <c r="B59" s="6" t="s">
        <v>589</v>
      </c>
      <c r="C59" s="6">
        <v>4537.798</v>
      </c>
      <c r="D59" s="6">
        <v>5522.43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16.199</v>
      </c>
      <c r="K59" s="14">
        <v>1</v>
      </c>
      <c r="L59" s="13">
        <v>2</v>
      </c>
      <c r="M59" s="13">
        <v>1</v>
      </c>
      <c r="N59" s="13">
        <v>0</v>
      </c>
      <c r="O59" s="13">
        <v>0</v>
      </c>
      <c r="P59" s="13">
        <v>-2.957</v>
      </c>
      <c r="Q59" s="13">
        <v>0</v>
      </c>
      <c r="R59" s="13">
        <v>0</v>
      </c>
    </row>
    <row r="60" ht="20.25" spans="1:18">
      <c r="A60" s="6" t="s">
        <v>590</v>
      </c>
      <c r="B60" s="6" t="s">
        <v>591</v>
      </c>
      <c r="C60" s="6">
        <v>739.211</v>
      </c>
      <c r="D60" s="6">
        <v>831.491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7.829</v>
      </c>
      <c r="K60" s="14">
        <v>3</v>
      </c>
      <c r="L60" s="13">
        <v>2</v>
      </c>
      <c r="M60" s="13">
        <v>0</v>
      </c>
      <c r="N60" s="13">
        <v>0</v>
      </c>
      <c r="O60" s="13">
        <v>0</v>
      </c>
      <c r="P60" s="13">
        <v>-1.968</v>
      </c>
      <c r="Q60" s="13">
        <v>0</v>
      </c>
      <c r="R60" s="13">
        <v>0</v>
      </c>
    </row>
    <row r="61" ht="20.25" spans="1:18">
      <c r="A61" s="6" t="s">
        <v>592</v>
      </c>
      <c r="B61" s="6" t="s">
        <v>593</v>
      </c>
      <c r="C61" s="6">
        <v>1590.141</v>
      </c>
      <c r="D61" s="6">
        <v>1867.58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4.525</v>
      </c>
      <c r="K61" s="14">
        <v>0</v>
      </c>
      <c r="L61" s="13">
        <v>0</v>
      </c>
      <c r="M61" s="13">
        <v>1</v>
      </c>
      <c r="N61" s="13">
        <v>-1</v>
      </c>
      <c r="O61" s="13">
        <v>0</v>
      </c>
      <c r="P61" s="13">
        <v>-3.121</v>
      </c>
      <c r="Q61" s="13">
        <v>0</v>
      </c>
      <c r="R61" s="13">
        <v>0</v>
      </c>
    </row>
    <row r="62" ht="20.25" spans="1:18">
      <c r="A62" s="6" t="s">
        <v>594</v>
      </c>
      <c r="B62" s="6" t="s">
        <v>595</v>
      </c>
      <c r="C62" s="6">
        <v>3268.719</v>
      </c>
      <c r="D62" s="6">
        <v>3587.213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4.924</v>
      </c>
      <c r="K62" s="14">
        <v>3</v>
      </c>
      <c r="L62" s="13">
        <v>1</v>
      </c>
      <c r="M62" s="13">
        <v>0</v>
      </c>
      <c r="N62" s="13">
        <v>0</v>
      </c>
      <c r="O62" s="13">
        <v>0</v>
      </c>
      <c r="P62" s="13">
        <v>-2.306</v>
      </c>
      <c r="Q62" s="13">
        <v>0</v>
      </c>
      <c r="R62" s="13">
        <v>0</v>
      </c>
    </row>
    <row r="63" ht="20.25" spans="1:18">
      <c r="A63" s="6" t="s">
        <v>596</v>
      </c>
      <c r="B63" s="6" t="s">
        <v>597</v>
      </c>
      <c r="C63" s="6">
        <v>1024.327</v>
      </c>
      <c r="D63" s="6">
        <v>1304.883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8.42</v>
      </c>
      <c r="K63" s="14">
        <v>0</v>
      </c>
      <c r="L63" s="13">
        <v>1</v>
      </c>
      <c r="M63" s="13">
        <v>1</v>
      </c>
      <c r="N63" s="13">
        <v>-1</v>
      </c>
      <c r="O63" s="13">
        <v>0</v>
      </c>
      <c r="P63" s="13">
        <v>-6.734</v>
      </c>
      <c r="Q63" s="13">
        <v>0</v>
      </c>
      <c r="R63" s="13">
        <v>0</v>
      </c>
    </row>
    <row r="64" ht="20.25" spans="1:18">
      <c r="A64" s="6" t="s">
        <v>598</v>
      </c>
      <c r="B64" s="6" t="s">
        <v>599</v>
      </c>
      <c r="C64" s="6">
        <v>2710.488</v>
      </c>
      <c r="D64" s="6">
        <v>2992.451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5.294</v>
      </c>
      <c r="K64" s="14">
        <v>0</v>
      </c>
      <c r="L64" s="13">
        <v>1</v>
      </c>
      <c r="M64" s="13">
        <v>1</v>
      </c>
      <c r="N64" s="13">
        <v>-1</v>
      </c>
      <c r="O64" s="13">
        <v>0</v>
      </c>
      <c r="P64" s="13">
        <v>0.753</v>
      </c>
      <c r="Q64" s="13">
        <v>0</v>
      </c>
      <c r="R64" s="13">
        <v>0</v>
      </c>
    </row>
    <row r="65" ht="20.25" spans="1:18">
      <c r="A65" s="6" t="s">
        <v>600</v>
      </c>
      <c r="B65" s="6" t="s">
        <v>601</v>
      </c>
      <c r="C65" s="6">
        <v>3492.223</v>
      </c>
      <c r="D65" s="6">
        <v>3627.954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2.696</v>
      </c>
      <c r="K65" s="14">
        <v>4</v>
      </c>
      <c r="L65" s="13">
        <v>0</v>
      </c>
      <c r="M65" s="13">
        <v>0</v>
      </c>
      <c r="N65" s="13">
        <v>0</v>
      </c>
      <c r="O65" s="13">
        <v>0</v>
      </c>
      <c r="P65" s="13">
        <v>0.067</v>
      </c>
      <c r="Q65" s="13">
        <v>0</v>
      </c>
      <c r="R65" s="13">
        <v>0</v>
      </c>
    </row>
    <row r="66" ht="20.25" spans="1:18">
      <c r="A66" s="6" t="s">
        <v>602</v>
      </c>
      <c r="B66" s="6" t="s">
        <v>603</v>
      </c>
      <c r="C66" s="6">
        <v>4496.49</v>
      </c>
      <c r="D66" s="6">
        <v>5485.574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16.095</v>
      </c>
      <c r="K66" s="14">
        <v>3</v>
      </c>
      <c r="L66" s="13">
        <v>2</v>
      </c>
      <c r="M66" s="13">
        <v>1</v>
      </c>
      <c r="N66" s="13">
        <v>0</v>
      </c>
      <c r="O66" s="13">
        <v>0</v>
      </c>
      <c r="P66" s="13">
        <v>-11.949</v>
      </c>
      <c r="Q66" s="13">
        <v>0</v>
      </c>
      <c r="R66" s="13">
        <v>0</v>
      </c>
    </row>
    <row r="67" ht="20.25" spans="1:18">
      <c r="A67" s="6" t="s">
        <v>604</v>
      </c>
      <c r="B67" s="6" t="s">
        <v>605</v>
      </c>
      <c r="C67" s="6">
        <v>8943.527</v>
      </c>
      <c r="D67" s="6">
        <v>10384.115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9.147</v>
      </c>
      <c r="K67" s="14">
        <v>3</v>
      </c>
      <c r="L67" s="13">
        <v>0</v>
      </c>
      <c r="M67" s="13">
        <v>0</v>
      </c>
      <c r="N67" s="13">
        <v>0</v>
      </c>
      <c r="O67" s="13">
        <v>0</v>
      </c>
      <c r="P67" s="13">
        <v>5.308</v>
      </c>
      <c r="Q67" s="13">
        <v>0</v>
      </c>
      <c r="R67" s="13">
        <v>0</v>
      </c>
    </row>
    <row r="68" ht="20.25" spans="1:18">
      <c r="A68" s="6" t="s">
        <v>606</v>
      </c>
      <c r="B68" s="6" t="s">
        <v>607</v>
      </c>
      <c r="C68" s="6">
        <v>13713.061</v>
      </c>
      <c r="D68" s="6">
        <v>15419.182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9.871</v>
      </c>
      <c r="K68" s="14">
        <v>3</v>
      </c>
      <c r="L68" s="13">
        <v>2</v>
      </c>
      <c r="M68" s="13">
        <v>0</v>
      </c>
      <c r="N68" s="13">
        <v>0</v>
      </c>
      <c r="O68" s="13">
        <v>0</v>
      </c>
      <c r="P68" s="13">
        <v>-6.111</v>
      </c>
      <c r="Q68" s="13">
        <v>0</v>
      </c>
      <c r="R68" s="13">
        <v>0</v>
      </c>
    </row>
    <row r="69" ht="20.25" spans="1:18">
      <c r="A69" s="6" t="s">
        <v>608</v>
      </c>
      <c r="B69" s="6" t="s">
        <v>609</v>
      </c>
      <c r="C69" s="6">
        <v>2395.6</v>
      </c>
      <c r="D69" s="6">
        <v>3103.491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13.14</v>
      </c>
      <c r="K69" s="14">
        <v>2</v>
      </c>
      <c r="L69" s="13">
        <v>0</v>
      </c>
      <c r="M69" s="13">
        <v>1</v>
      </c>
      <c r="N69" s="13">
        <v>-1</v>
      </c>
      <c r="O69" s="13">
        <v>0</v>
      </c>
      <c r="P69" s="13">
        <v>1.476</v>
      </c>
      <c r="Q69" s="13">
        <v>0</v>
      </c>
      <c r="R69" s="13">
        <v>0</v>
      </c>
    </row>
    <row r="70" ht="20.25" spans="1:18">
      <c r="A70" s="6" t="s">
        <v>610</v>
      </c>
      <c r="B70" s="6" t="s">
        <v>611</v>
      </c>
      <c r="C70" s="6">
        <v>8728.945</v>
      </c>
      <c r="D70" s="6">
        <v>9833.163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11.138</v>
      </c>
      <c r="K70" s="14">
        <v>3</v>
      </c>
      <c r="L70" s="13">
        <v>0</v>
      </c>
      <c r="M70" s="13">
        <v>0</v>
      </c>
      <c r="N70" s="13">
        <v>0</v>
      </c>
      <c r="O70" s="13">
        <v>0</v>
      </c>
      <c r="P70" s="13">
        <v>-8.46</v>
      </c>
      <c r="Q70" s="13">
        <v>0</v>
      </c>
      <c r="R70" s="13">
        <v>0</v>
      </c>
    </row>
    <row r="71" ht="20.25" spans="1:18">
      <c r="A71" s="6" t="s">
        <v>612</v>
      </c>
      <c r="B71" s="6" t="s">
        <v>613</v>
      </c>
      <c r="C71" s="6">
        <v>7674.134</v>
      </c>
      <c r="D71" s="6">
        <v>8152.394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4.811</v>
      </c>
      <c r="K71" s="14">
        <v>2</v>
      </c>
      <c r="L71" s="13">
        <v>0</v>
      </c>
      <c r="M71" s="13">
        <v>0</v>
      </c>
      <c r="N71" s="13">
        <v>-1</v>
      </c>
      <c r="O71" s="13">
        <v>0</v>
      </c>
      <c r="P71" s="13">
        <v>-2.771</v>
      </c>
      <c r="Q71" s="13">
        <v>0</v>
      </c>
      <c r="R71" s="13">
        <v>0</v>
      </c>
    </row>
    <row r="72" ht="20.25" spans="1:18">
      <c r="A72" s="6" t="s">
        <v>614</v>
      </c>
      <c r="B72" s="6" t="s">
        <v>615</v>
      </c>
      <c r="C72" s="6">
        <v>2242.509</v>
      </c>
      <c r="D72" s="6">
        <v>2821.127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19.91</v>
      </c>
      <c r="K72" s="14">
        <v>4</v>
      </c>
      <c r="L72" s="13">
        <v>0</v>
      </c>
      <c r="M72" s="13">
        <v>0</v>
      </c>
      <c r="N72" s="13">
        <v>0</v>
      </c>
      <c r="O72" s="13">
        <v>0</v>
      </c>
      <c r="P72" s="13">
        <v>-32.71</v>
      </c>
      <c r="Q72" s="13">
        <v>0</v>
      </c>
      <c r="R72" s="13">
        <v>0</v>
      </c>
    </row>
    <row r="73" ht="20.25" spans="1:18">
      <c r="A73" s="6" t="s">
        <v>616</v>
      </c>
      <c r="B73" s="6" t="s">
        <v>617</v>
      </c>
      <c r="C73" s="6">
        <v>2204.14</v>
      </c>
      <c r="D73" s="6">
        <v>2526.343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1.864</v>
      </c>
      <c r="K73" s="14">
        <v>0</v>
      </c>
      <c r="L73" s="13">
        <v>1</v>
      </c>
      <c r="M73" s="13">
        <v>1</v>
      </c>
      <c r="N73" s="13">
        <v>-1</v>
      </c>
      <c r="O73" s="13">
        <v>0</v>
      </c>
      <c r="P73" s="13">
        <v>1.029</v>
      </c>
      <c r="Q73" s="13">
        <v>0</v>
      </c>
      <c r="R73" s="13">
        <v>0</v>
      </c>
    </row>
    <row r="74" ht="20.25" spans="1:18">
      <c r="A74" s="6" t="s">
        <v>618</v>
      </c>
      <c r="B74" s="6" t="s">
        <v>619</v>
      </c>
      <c r="C74" s="6">
        <v>4977.127</v>
      </c>
      <c r="D74" s="6">
        <v>6105.291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12.621</v>
      </c>
      <c r="K74" s="14">
        <v>2</v>
      </c>
      <c r="L74" s="13">
        <v>1</v>
      </c>
      <c r="M74" s="13">
        <v>1</v>
      </c>
      <c r="N74" s="13">
        <v>-1</v>
      </c>
      <c r="O74" s="13">
        <v>0</v>
      </c>
      <c r="P74" s="13">
        <v>-8.141</v>
      </c>
      <c r="Q74" s="13">
        <v>0</v>
      </c>
      <c r="R74" s="13">
        <v>0</v>
      </c>
    </row>
    <row r="75" ht="20.25" spans="1:18">
      <c r="A75" s="6" t="s">
        <v>620</v>
      </c>
      <c r="B75" s="6" t="s">
        <v>621</v>
      </c>
      <c r="C75" s="6">
        <v>1128.204</v>
      </c>
      <c r="D75" s="6">
        <v>1299.655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3.158</v>
      </c>
      <c r="K75" s="14">
        <v>0</v>
      </c>
      <c r="L75" s="13">
        <v>0</v>
      </c>
      <c r="M75" s="13">
        <v>1</v>
      </c>
      <c r="N75" s="13">
        <v>-1</v>
      </c>
      <c r="O75" s="13">
        <v>0</v>
      </c>
      <c r="P75" s="13">
        <v>-1.653</v>
      </c>
      <c r="Q75" s="13">
        <v>0</v>
      </c>
      <c r="R75" s="13">
        <v>0</v>
      </c>
    </row>
    <row r="76" ht="20.25" spans="1:18">
      <c r="A76" s="6" t="s">
        <v>622</v>
      </c>
      <c r="B76" s="6" t="s">
        <v>623</v>
      </c>
      <c r="C76" s="6">
        <v>5382.353</v>
      </c>
      <c r="D76" s="6">
        <v>6006.955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8.774</v>
      </c>
      <c r="K76" s="14">
        <v>1</v>
      </c>
      <c r="L76" s="13">
        <v>0</v>
      </c>
      <c r="M76" s="13">
        <v>0</v>
      </c>
      <c r="N76" s="13">
        <v>-1</v>
      </c>
      <c r="O76" s="13">
        <v>0</v>
      </c>
      <c r="P76" s="13">
        <v>-2.362</v>
      </c>
      <c r="Q76" s="13">
        <v>0</v>
      </c>
      <c r="R76" s="13">
        <v>0</v>
      </c>
    </row>
    <row r="77" ht="20.25" spans="1:18">
      <c r="A77" s="6" t="s">
        <v>624</v>
      </c>
      <c r="B77" s="6" t="s">
        <v>625</v>
      </c>
      <c r="C77" s="6">
        <v>2065.449</v>
      </c>
      <c r="D77" s="6">
        <v>2616.033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9.051</v>
      </c>
      <c r="K77" s="14">
        <v>0</v>
      </c>
      <c r="L77" s="13">
        <v>1</v>
      </c>
      <c r="M77" s="13">
        <v>1</v>
      </c>
      <c r="N77" s="13">
        <v>-1</v>
      </c>
      <c r="O77" s="13">
        <v>0</v>
      </c>
      <c r="P77" s="13">
        <v>-7.408</v>
      </c>
      <c r="Q77" s="13">
        <v>0</v>
      </c>
      <c r="R77" s="13">
        <v>0</v>
      </c>
    </row>
    <row r="78" ht="20.25" spans="1:18">
      <c r="A78" s="6" t="s">
        <v>626</v>
      </c>
      <c r="B78" s="6" t="s">
        <v>627</v>
      </c>
      <c r="C78" s="6">
        <v>5113.139</v>
      </c>
      <c r="D78" s="6">
        <v>5464.392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4.996</v>
      </c>
      <c r="K78" s="14">
        <v>0</v>
      </c>
      <c r="L78" s="13">
        <v>0</v>
      </c>
      <c r="M78" s="13">
        <v>0</v>
      </c>
      <c r="N78" s="13">
        <v>-1</v>
      </c>
      <c r="O78" s="13">
        <v>0</v>
      </c>
      <c r="P78" s="13">
        <v>-4.636</v>
      </c>
      <c r="Q78" s="13">
        <v>0</v>
      </c>
      <c r="R78" s="13">
        <v>0</v>
      </c>
    </row>
    <row r="79" ht="20.25" spans="1:18">
      <c r="A79" s="6" t="s">
        <v>628</v>
      </c>
      <c r="B79" s="6" t="s">
        <v>629</v>
      </c>
      <c r="C79" s="6">
        <v>1669.249</v>
      </c>
      <c r="D79" s="6">
        <v>1875.8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9.77</v>
      </c>
      <c r="K79" s="14">
        <v>0</v>
      </c>
      <c r="L79" s="13">
        <v>1</v>
      </c>
      <c r="M79" s="13">
        <v>0</v>
      </c>
      <c r="N79" s="13">
        <v>0</v>
      </c>
      <c r="O79" s="13">
        <v>0</v>
      </c>
      <c r="P79" s="13">
        <v>-0.86</v>
      </c>
      <c r="Q79" s="13">
        <v>0</v>
      </c>
      <c r="R79" s="13">
        <v>-1</v>
      </c>
    </row>
    <row r="80" ht="20.25" spans="1:18">
      <c r="A80" s="6" t="s">
        <v>630</v>
      </c>
      <c r="B80" s="6" t="s">
        <v>631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4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632</v>
      </c>
      <c r="B81" s="6" t="s">
        <v>633</v>
      </c>
      <c r="C81" s="6">
        <v>6651.967</v>
      </c>
      <c r="D81" s="6">
        <v>8403.943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10.225</v>
      </c>
      <c r="K81" s="14">
        <v>1</v>
      </c>
      <c r="L81" s="13">
        <v>0</v>
      </c>
      <c r="M81" s="13">
        <v>0</v>
      </c>
      <c r="N81" s="13">
        <v>0</v>
      </c>
      <c r="O81" s="13">
        <v>0</v>
      </c>
      <c r="P81" s="13">
        <v>1.183</v>
      </c>
      <c r="Q81" s="13">
        <v>0</v>
      </c>
      <c r="R81" s="13">
        <v>0</v>
      </c>
    </row>
    <row r="82" ht="20.25" spans="1:18">
      <c r="A82" s="6" t="s">
        <v>634</v>
      </c>
      <c r="B82" s="6" t="s">
        <v>635</v>
      </c>
      <c r="C82" s="6">
        <v>4319.703</v>
      </c>
      <c r="D82" s="6">
        <v>4741.831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1.606</v>
      </c>
      <c r="K82" s="14">
        <v>1</v>
      </c>
      <c r="L82" s="13">
        <v>0</v>
      </c>
      <c r="M82" s="13">
        <v>0</v>
      </c>
      <c r="N82" s="13">
        <v>0</v>
      </c>
      <c r="O82" s="13">
        <v>0</v>
      </c>
      <c r="P82" s="13">
        <v>-0.466</v>
      </c>
      <c r="Q82" s="13">
        <v>0</v>
      </c>
      <c r="R82" s="13">
        <v>1</v>
      </c>
    </row>
    <row r="83" ht="20.25" spans="1:18">
      <c r="A83" s="6" t="s">
        <v>636</v>
      </c>
      <c r="B83" s="6" t="s">
        <v>637</v>
      </c>
      <c r="C83" s="6">
        <v>6750.205</v>
      </c>
      <c r="D83" s="6">
        <v>8256.824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8.43</v>
      </c>
      <c r="K83" s="14">
        <v>1</v>
      </c>
      <c r="L83" s="13">
        <v>0</v>
      </c>
      <c r="M83" s="13">
        <v>0</v>
      </c>
      <c r="N83" s="13">
        <v>0</v>
      </c>
      <c r="O83" s="13">
        <v>0</v>
      </c>
      <c r="P83" s="13">
        <v>1.004</v>
      </c>
      <c r="Q83" s="13">
        <v>0</v>
      </c>
      <c r="R83" s="13">
        <v>0</v>
      </c>
    </row>
    <row r="84" ht="20.25" spans="1:18">
      <c r="A84" s="6" t="s">
        <v>638</v>
      </c>
      <c r="B84" s="6" t="s">
        <v>639</v>
      </c>
      <c r="C84" s="6">
        <v>107.636</v>
      </c>
      <c r="D84" s="6">
        <v>108.695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0.521</v>
      </c>
      <c r="K84" s="14">
        <v>0</v>
      </c>
      <c r="L84" s="13">
        <v>2</v>
      </c>
      <c r="M84" s="13">
        <v>0</v>
      </c>
      <c r="N84" s="13">
        <v>0</v>
      </c>
      <c r="O84" s="13">
        <v>0</v>
      </c>
      <c r="P84" s="13">
        <v>-0.014</v>
      </c>
      <c r="Q84" s="13">
        <v>0</v>
      </c>
      <c r="R84" s="13">
        <v>-1</v>
      </c>
    </row>
    <row r="85" ht="20.25" spans="1:18">
      <c r="A85" s="6" t="s">
        <v>640</v>
      </c>
      <c r="B85" s="6" t="s">
        <v>641</v>
      </c>
      <c r="C85" s="6">
        <v>105.595</v>
      </c>
      <c r="D85" s="6">
        <v>106.34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0.359</v>
      </c>
      <c r="K85" s="14">
        <v>2</v>
      </c>
      <c r="L85" s="13">
        <v>2</v>
      </c>
      <c r="M85" s="13">
        <v>0</v>
      </c>
      <c r="N85" s="13">
        <v>0</v>
      </c>
      <c r="O85" s="13">
        <v>0</v>
      </c>
      <c r="P85" s="13">
        <v>-0.007</v>
      </c>
      <c r="Q85" s="13">
        <v>0</v>
      </c>
      <c r="R85" s="13">
        <v>-1</v>
      </c>
    </row>
    <row r="86" ht="20.25" spans="1:18">
      <c r="A86" s="6" t="s">
        <v>642</v>
      </c>
      <c r="B86" s="6" t="s">
        <v>643</v>
      </c>
      <c r="C86" s="6">
        <v>110.6</v>
      </c>
      <c r="D86" s="6">
        <v>115.196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0.531</v>
      </c>
      <c r="K86" s="14">
        <v>1</v>
      </c>
      <c r="L86" s="13">
        <v>1</v>
      </c>
      <c r="M86" s="13">
        <v>0</v>
      </c>
      <c r="N86" s="13">
        <v>0</v>
      </c>
      <c r="O86" s="13">
        <v>0</v>
      </c>
      <c r="P86" s="13">
        <v>-0.037</v>
      </c>
      <c r="Q86" s="13">
        <v>0</v>
      </c>
      <c r="R86" s="13">
        <v>0</v>
      </c>
    </row>
    <row r="87" ht="20.25" spans="1:18">
      <c r="A87" s="6" t="s">
        <v>644</v>
      </c>
      <c r="B87" s="6" t="s">
        <v>645</v>
      </c>
      <c r="C87" s="6">
        <v>102.379</v>
      </c>
      <c r="D87" s="6">
        <v>102.637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0.124</v>
      </c>
      <c r="K87" s="14">
        <v>3</v>
      </c>
      <c r="L87" s="13">
        <v>2</v>
      </c>
      <c r="M87" s="13">
        <v>0</v>
      </c>
      <c r="N87" s="13">
        <v>0</v>
      </c>
      <c r="O87" s="13">
        <v>0</v>
      </c>
      <c r="P87" s="13">
        <v>-0.001</v>
      </c>
      <c r="Q87" s="13">
        <v>0</v>
      </c>
      <c r="R87" s="13">
        <v>-1</v>
      </c>
    </row>
    <row r="88" ht="20.25" spans="1:18">
      <c r="A88" s="6" t="s">
        <v>646</v>
      </c>
      <c r="B88" s="6" t="s">
        <v>647</v>
      </c>
      <c r="C88" s="6">
        <v>77764.719</v>
      </c>
      <c r="D88" s="6">
        <v>98159.063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9.122</v>
      </c>
      <c r="K88" s="14">
        <v>1</v>
      </c>
      <c r="L88" s="13">
        <v>2</v>
      </c>
      <c r="M88" s="13">
        <v>0</v>
      </c>
      <c r="N88" s="13">
        <v>0</v>
      </c>
      <c r="O88" s="13">
        <v>0</v>
      </c>
      <c r="P88" s="13">
        <v>148.617</v>
      </c>
      <c r="Q88" s="13">
        <v>0</v>
      </c>
      <c r="R88" s="13">
        <v>0</v>
      </c>
    </row>
    <row r="89" ht="20.25" spans="1:18">
      <c r="A89" s="6" t="s">
        <v>648</v>
      </c>
      <c r="B89" s="6" t="s">
        <v>649</v>
      </c>
      <c r="C89" s="6">
        <v>1354.064</v>
      </c>
      <c r="D89" s="6">
        <v>2331.082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38.255</v>
      </c>
      <c r="K89" s="14">
        <v>0</v>
      </c>
      <c r="L89" s="13">
        <v>2</v>
      </c>
      <c r="M89" s="13">
        <v>1</v>
      </c>
      <c r="N89" s="13">
        <v>-1</v>
      </c>
      <c r="O89" s="13">
        <v>0</v>
      </c>
      <c r="P89" s="13">
        <v>11.438</v>
      </c>
      <c r="Q89" s="13">
        <v>0</v>
      </c>
      <c r="R89" s="13">
        <v>0</v>
      </c>
    </row>
    <row r="90" ht="20.25" spans="1:18">
      <c r="A90" s="6" t="s">
        <v>650</v>
      </c>
      <c r="B90" s="6" t="s">
        <v>651</v>
      </c>
      <c r="C90" s="6">
        <v>12187.467</v>
      </c>
      <c r="D90" s="6">
        <v>13903.081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11.493</v>
      </c>
      <c r="K90" s="14">
        <v>4</v>
      </c>
      <c r="L90" s="13">
        <v>0</v>
      </c>
      <c r="M90" s="13">
        <v>0</v>
      </c>
      <c r="N90" s="13">
        <v>1</v>
      </c>
      <c r="O90" s="13">
        <v>0</v>
      </c>
      <c r="P90" s="13">
        <v>-1.716</v>
      </c>
      <c r="Q90" s="13">
        <v>0</v>
      </c>
      <c r="R90" s="13">
        <v>0</v>
      </c>
    </row>
    <row r="91" ht="20.25" spans="1:18">
      <c r="A91" s="6" t="s">
        <v>652</v>
      </c>
      <c r="B91" s="6" t="s">
        <v>653</v>
      </c>
      <c r="C91" s="6">
        <v>94908.813</v>
      </c>
      <c r="D91" s="6">
        <v>184973.094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40.361</v>
      </c>
      <c r="K91" s="14">
        <v>1</v>
      </c>
      <c r="L91" s="13">
        <v>0</v>
      </c>
      <c r="M91" s="13">
        <v>0</v>
      </c>
      <c r="N91" s="13">
        <v>0</v>
      </c>
      <c r="O91" s="13">
        <v>0</v>
      </c>
      <c r="P91" s="13">
        <v>-601.388</v>
      </c>
      <c r="Q91" s="13">
        <v>0</v>
      </c>
      <c r="R91" s="13">
        <v>0</v>
      </c>
    </row>
    <row r="92" ht="20.25" spans="1:18">
      <c r="A92" s="6" t="s">
        <v>654</v>
      </c>
      <c r="B92" s="6" t="s">
        <v>655</v>
      </c>
      <c r="C92" s="6">
        <v>8140.607</v>
      </c>
      <c r="D92" s="6">
        <v>9266.301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1.92</v>
      </c>
      <c r="K92" s="14">
        <v>0</v>
      </c>
      <c r="L92" s="13">
        <v>0</v>
      </c>
      <c r="M92" s="13">
        <v>1</v>
      </c>
      <c r="N92" s="13">
        <v>-1</v>
      </c>
      <c r="O92" s="13">
        <v>0</v>
      </c>
      <c r="P92" s="13">
        <v>-17.973</v>
      </c>
      <c r="Q92" s="13">
        <v>0</v>
      </c>
      <c r="R92" s="13">
        <v>0</v>
      </c>
    </row>
    <row r="93" ht="20.25" spans="1:18">
      <c r="A93" s="6" t="s">
        <v>656</v>
      </c>
      <c r="B93" s="6" t="s">
        <v>657</v>
      </c>
      <c r="C93" s="6">
        <v>435.144</v>
      </c>
      <c r="D93" s="6">
        <v>755.574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10.63</v>
      </c>
      <c r="K93" s="14">
        <v>0</v>
      </c>
      <c r="L93" s="13">
        <v>0</v>
      </c>
      <c r="M93" s="13">
        <v>0</v>
      </c>
      <c r="N93" s="13">
        <v>0</v>
      </c>
      <c r="O93" s="13">
        <v>0</v>
      </c>
      <c r="P93" s="13">
        <v>-1.723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2026-04-02T14:56:22Z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43AB1F2166324BA78465ED78955E2539_13</vt:lpwstr>
  </property>
  <property fmtid="{D5CDD505-2E9C-101B-9397-08002B2CF9AE}" pid="3" name="KSOProductBuildVer">
    <vt:lpwstr>2052-12.1.0.15712</vt:lpwstr>
  </property>
</Properties>
</file>