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<sst xmlns="http://schemas.openxmlformats.org/spreadsheetml/2006/main" count="1222" uniqueCount="1101">
  <si>
    <t>京沪深强转弱</t>
  </si>
  <si>
    <t>京沪深弱转强</t>
  </si>
  <si>
    <t>代码</t>
  </si>
  <si>
    <t>简称</t>
  </si>
  <si>
    <t>总市值</t>
  </si>
  <si>
    <t>中证800</t>
  </si>
  <si>
    <t>579595.19亿</t>
  </si>
  <si>
    <t>低市盈率</t>
  </si>
  <si>
    <t>172692.61亿</t>
  </si>
  <si>
    <t>上证指数</t>
  </si>
  <si>
    <t>524929.63亿</t>
  </si>
  <si>
    <t>全指金融</t>
  </si>
  <si>
    <t>159332.78亿</t>
  </si>
  <si>
    <t>储能</t>
  </si>
  <si>
    <t>100326.44亿</t>
  </si>
  <si>
    <t>新综指</t>
  </si>
  <si>
    <t>519678.16亿</t>
  </si>
  <si>
    <t>回购计划</t>
  </si>
  <si>
    <t>99409.40亿</t>
  </si>
  <si>
    <t>Ａ股指数</t>
  </si>
  <si>
    <t>519278.91亿</t>
  </si>
  <si>
    <t>高股息股</t>
  </si>
  <si>
    <t>98997.15亿</t>
  </si>
  <si>
    <t>沪深300</t>
  </si>
  <si>
    <t>447530.09亿</t>
  </si>
  <si>
    <t>芯片</t>
  </si>
  <si>
    <t>93604.43亿</t>
  </si>
  <si>
    <t>全指信息</t>
  </si>
  <si>
    <t>80591.99亿</t>
  </si>
  <si>
    <t>MSCI成份</t>
  </si>
  <si>
    <t>419666.59亿</t>
  </si>
  <si>
    <t>上海板块</t>
  </si>
  <si>
    <t>78638.02亿</t>
  </si>
  <si>
    <t>大盘股</t>
  </si>
  <si>
    <t>403388.22亿</t>
  </si>
  <si>
    <t>氢能源</t>
  </si>
  <si>
    <t>73924.33亿</t>
  </si>
  <si>
    <t>北上重仓</t>
  </si>
  <si>
    <t>376338.97亿</t>
  </si>
  <si>
    <t>持续增长</t>
  </si>
  <si>
    <t>65668.84亿</t>
  </si>
  <si>
    <t>基金重仓</t>
  </si>
  <si>
    <t>346279.16亿</t>
  </si>
  <si>
    <t>5G概念</t>
  </si>
  <si>
    <t>65322.46亿</t>
  </si>
  <si>
    <t>深证综指</t>
  </si>
  <si>
    <t>339201.72亿</t>
  </si>
  <si>
    <t>消费电子概念</t>
  </si>
  <si>
    <t>53620.31亿</t>
  </si>
  <si>
    <t>深证成指</t>
  </si>
  <si>
    <t>汽车电子</t>
  </si>
  <si>
    <t>52463.19亿</t>
  </si>
  <si>
    <t>上证180</t>
  </si>
  <si>
    <t>317634.06亿</t>
  </si>
  <si>
    <t>绿色电力</t>
  </si>
  <si>
    <t>52353.82亿</t>
  </si>
  <si>
    <t>非周期股</t>
  </si>
  <si>
    <t>309670.16亿</t>
  </si>
  <si>
    <t>连续亏损</t>
  </si>
  <si>
    <t>50616.81亿</t>
  </si>
  <si>
    <t>深证Ａ指</t>
  </si>
  <si>
    <t>285893.69亿</t>
  </si>
  <si>
    <t>低空经济</t>
  </si>
  <si>
    <t>49271.00亿</t>
  </si>
  <si>
    <t>新指数</t>
  </si>
  <si>
    <t>281375.28亿</t>
  </si>
  <si>
    <t>充电桩</t>
  </si>
  <si>
    <t>43982.52亿</t>
  </si>
  <si>
    <t>中证A100</t>
  </si>
  <si>
    <t>233477.94亿</t>
  </si>
  <si>
    <t>无人机</t>
  </si>
  <si>
    <t>43251.76亿</t>
  </si>
  <si>
    <t>周期股</t>
  </si>
  <si>
    <t>231016.98亿</t>
  </si>
  <si>
    <t>汽车类</t>
  </si>
  <si>
    <t>40912.98亿</t>
  </si>
  <si>
    <t>深成指R</t>
  </si>
  <si>
    <t>200489.45亿</t>
  </si>
  <si>
    <t>虚拟现实</t>
  </si>
  <si>
    <t>40673.25亿</t>
  </si>
  <si>
    <t>行业龙头</t>
  </si>
  <si>
    <t>194068.98亿</t>
  </si>
  <si>
    <t>新材料</t>
  </si>
  <si>
    <t>39671.85亿</t>
  </si>
  <si>
    <t>中特估</t>
  </si>
  <si>
    <t>185463.05亿</t>
  </si>
  <si>
    <t>智能家居</t>
  </si>
  <si>
    <t>37920.71亿</t>
  </si>
  <si>
    <t>通达信88</t>
  </si>
  <si>
    <t>152921.89亿</t>
  </si>
  <si>
    <t>福建板块</t>
  </si>
  <si>
    <t>36132.77亿</t>
  </si>
  <si>
    <t>证金汇金持股</t>
  </si>
  <si>
    <t>136155.45亿</t>
  </si>
  <si>
    <t>智能穿戴</t>
  </si>
  <si>
    <t>33319.40亿</t>
  </si>
  <si>
    <t>中证500</t>
  </si>
  <si>
    <t>132065.11亿</t>
  </si>
  <si>
    <t>燃料电池</t>
  </si>
  <si>
    <t>28103.89亿</t>
  </si>
  <si>
    <t>创业板综</t>
  </si>
  <si>
    <t>129190.64亿</t>
  </si>
  <si>
    <t>苹果概念</t>
  </si>
  <si>
    <t>26950.69亿</t>
  </si>
  <si>
    <t>中证1000</t>
  </si>
  <si>
    <t>119902.32亿</t>
  </si>
  <si>
    <t>节能环保</t>
  </si>
  <si>
    <t>26070.78亿</t>
  </si>
  <si>
    <t>消费100</t>
  </si>
  <si>
    <t>118239.18亿</t>
  </si>
  <si>
    <t>信息安全</t>
  </si>
  <si>
    <t>24286.03亿</t>
  </si>
  <si>
    <t>中小综指</t>
  </si>
  <si>
    <t>113247.56亿</t>
  </si>
  <si>
    <t>智能医疗</t>
  </si>
  <si>
    <t>24113.85亿</t>
  </si>
  <si>
    <t>高分红股</t>
  </si>
  <si>
    <t>111821.27亿</t>
  </si>
  <si>
    <t>OLED概念</t>
  </si>
  <si>
    <t>23752.83亿</t>
  </si>
  <si>
    <t>中字头</t>
  </si>
  <si>
    <t>108118.27亿</t>
  </si>
  <si>
    <t>页岩气</t>
  </si>
  <si>
    <t>23744.96亿</t>
  </si>
  <si>
    <t>陆股通重仓</t>
  </si>
  <si>
    <t>98851.09亿</t>
  </si>
  <si>
    <t>元宇宙概念</t>
  </si>
  <si>
    <t>23472.39亿</t>
  </si>
  <si>
    <t>上证380</t>
  </si>
  <si>
    <t>76332.09亿</t>
  </si>
  <si>
    <t>PPP概念</t>
  </si>
  <si>
    <t>22434.97亿</t>
  </si>
  <si>
    <t>含可转债</t>
  </si>
  <si>
    <t>68414.06亿</t>
  </si>
  <si>
    <t>碳中和</t>
  </si>
  <si>
    <t>22023.27亿</t>
  </si>
  <si>
    <t>广东板块</t>
  </si>
  <si>
    <t>53598.13亿</t>
  </si>
  <si>
    <t>先进封装</t>
  </si>
  <si>
    <t>21975.22亿</t>
  </si>
  <si>
    <t>创投概念</t>
  </si>
  <si>
    <t>52262.37亿</t>
  </si>
  <si>
    <t>军民融合</t>
  </si>
  <si>
    <t>20406.34亿</t>
  </si>
  <si>
    <t>MSCI中盘</t>
  </si>
  <si>
    <t>49957.79亿</t>
  </si>
  <si>
    <t>第三代半导体</t>
  </si>
  <si>
    <t>19933.03亿</t>
  </si>
  <si>
    <t>整体上市</t>
  </si>
  <si>
    <t>43096.36亿</t>
  </si>
  <si>
    <t>卫星导航</t>
  </si>
  <si>
    <t>19495.18亿</t>
  </si>
  <si>
    <t>全指医药</t>
  </si>
  <si>
    <t>40031.54亿</t>
  </si>
  <si>
    <t>超清视频</t>
  </si>
  <si>
    <t>19004.29亿</t>
  </si>
  <si>
    <t>医药</t>
  </si>
  <si>
    <t>38826.96亿</t>
  </si>
  <si>
    <t>存储芯片</t>
  </si>
  <si>
    <t>18674.96亿</t>
  </si>
  <si>
    <t>元器件</t>
  </si>
  <si>
    <t>37277.07亿</t>
  </si>
  <si>
    <t>6G概念</t>
  </si>
  <si>
    <t>18616.72亿</t>
  </si>
  <si>
    <t>白酒概念</t>
  </si>
  <si>
    <t>36386.25亿</t>
  </si>
  <si>
    <t>CPO概念</t>
  </si>
  <si>
    <t>17986.08亿</t>
  </si>
  <si>
    <t>酿酒</t>
  </si>
  <si>
    <t>36104.07亿</t>
  </si>
  <si>
    <t>合成生物</t>
  </si>
  <si>
    <t>17881.01亿</t>
  </si>
  <si>
    <t>分拆上市预期</t>
  </si>
  <si>
    <t>35428.57亿</t>
  </si>
  <si>
    <t>上海自贸</t>
  </si>
  <si>
    <t>17852.19亿</t>
  </si>
  <si>
    <t>化工</t>
  </si>
  <si>
    <t>35301.19亿</t>
  </si>
  <si>
    <t>黄金概念</t>
  </si>
  <si>
    <t>16787.68亿</t>
  </si>
  <si>
    <t>股权集中</t>
  </si>
  <si>
    <t>33638.69亿</t>
  </si>
  <si>
    <t>科创100</t>
  </si>
  <si>
    <t>16737.53亿</t>
  </si>
  <si>
    <t>参股新股</t>
  </si>
  <si>
    <t>29330.49亿</t>
  </si>
  <si>
    <t>毫米波雷达</t>
  </si>
  <si>
    <t>16623.47亿</t>
  </si>
  <si>
    <t>电力</t>
  </si>
  <si>
    <t>28689.41亿</t>
  </si>
  <si>
    <t>食品饮料</t>
  </si>
  <si>
    <t>16371.00亿</t>
  </si>
  <si>
    <t>养老金持股</t>
  </si>
  <si>
    <t>27990.94亿</t>
  </si>
  <si>
    <t>安防服务</t>
  </si>
  <si>
    <t>16349.92亿</t>
  </si>
  <si>
    <t>雄安新区</t>
  </si>
  <si>
    <t>27823.75亿</t>
  </si>
  <si>
    <t>水利建设</t>
  </si>
  <si>
    <t>16252.62亿</t>
  </si>
  <si>
    <t>四川板块</t>
  </si>
  <si>
    <t>27339.79亿</t>
  </si>
  <si>
    <t>量子科技</t>
  </si>
  <si>
    <t>15980.58亿</t>
  </si>
  <si>
    <t>有色</t>
  </si>
  <si>
    <t>27006.83亿</t>
  </si>
  <si>
    <t>亏损股</t>
  </si>
  <si>
    <t>15136.46亿</t>
  </si>
  <si>
    <t>参股金融</t>
  </si>
  <si>
    <t>25899.36亿</t>
  </si>
  <si>
    <t>光通信</t>
  </si>
  <si>
    <t>14971.73亿</t>
  </si>
  <si>
    <t>社保新进</t>
  </si>
  <si>
    <t>25656.07亿</t>
  </si>
  <si>
    <t>微利股</t>
  </si>
  <si>
    <t>14963.06亿</t>
  </si>
  <si>
    <t>钠电池</t>
  </si>
  <si>
    <t>25403.70亿</t>
  </si>
  <si>
    <t>换电概念</t>
  </si>
  <si>
    <t>14767.22亿</t>
  </si>
  <si>
    <t>破增发价</t>
  </si>
  <si>
    <t>23036.99亿</t>
  </si>
  <si>
    <t>养老概念</t>
  </si>
  <si>
    <t>14254.38亿</t>
  </si>
  <si>
    <t>工业机械</t>
  </si>
  <si>
    <t>21770.97亿</t>
  </si>
  <si>
    <t>特高压</t>
  </si>
  <si>
    <t>14039.56亿</t>
  </si>
  <si>
    <t>高市盈率</t>
  </si>
  <si>
    <t>20935.41亿</t>
  </si>
  <si>
    <t>网络游戏</t>
  </si>
  <si>
    <t>13596.45亿</t>
  </si>
  <si>
    <t>并购重组股</t>
  </si>
  <si>
    <t>20612.21亿</t>
  </si>
  <si>
    <t>破发行价</t>
  </si>
  <si>
    <t>13413.20亿</t>
  </si>
  <si>
    <t>铁路基建</t>
  </si>
  <si>
    <t>20433.20亿</t>
  </si>
  <si>
    <t>虚拟电厂</t>
  </si>
  <si>
    <t>13289.70亿</t>
  </si>
  <si>
    <t>AI眼镜</t>
  </si>
  <si>
    <t>19665.70亿</t>
  </si>
  <si>
    <t>物业管理概念</t>
  </si>
  <si>
    <t>13263.34亿</t>
  </si>
  <si>
    <t>安徽板块</t>
  </si>
  <si>
    <t>19595.93亿</t>
  </si>
  <si>
    <t>飞行汽车</t>
  </si>
  <si>
    <t>12387.74亿</t>
  </si>
  <si>
    <t>大基金持股</t>
  </si>
  <si>
    <t>18839.91亿</t>
  </si>
  <si>
    <t>航运概念</t>
  </si>
  <si>
    <t>11965.83亿</t>
  </si>
  <si>
    <t>家用电器</t>
  </si>
  <si>
    <t>18417.06亿</t>
  </si>
  <si>
    <t>石墨烯</t>
  </si>
  <si>
    <t>11957.38亿</t>
  </si>
  <si>
    <t>扣非亏损</t>
  </si>
  <si>
    <t>18319.50亿</t>
  </si>
  <si>
    <t>即将解禁</t>
  </si>
  <si>
    <t>11836.56亿</t>
  </si>
  <si>
    <t>含GDR</t>
  </si>
  <si>
    <t>17984.90亿</t>
  </si>
  <si>
    <t>活跃小盘国企</t>
  </si>
  <si>
    <t>11781.80亿</t>
  </si>
  <si>
    <t>湖南板块</t>
  </si>
  <si>
    <t>15822.30亿</t>
  </si>
  <si>
    <t>化债AMC</t>
  </si>
  <si>
    <t>11056.04亿</t>
  </si>
  <si>
    <t>业绩预增</t>
  </si>
  <si>
    <t>15261.11亿</t>
  </si>
  <si>
    <t>中俄贸易</t>
  </si>
  <si>
    <t>10952.14亿</t>
  </si>
  <si>
    <t>锂矿</t>
  </si>
  <si>
    <t>14689.28亿</t>
  </si>
  <si>
    <t>新型城镇</t>
  </si>
  <si>
    <t>10898.84亿</t>
  </si>
  <si>
    <t>仿制药</t>
  </si>
  <si>
    <t>14593.97亿</t>
  </si>
  <si>
    <t>农林牧渔</t>
  </si>
  <si>
    <t>10583.36亿</t>
  </si>
  <si>
    <t>河南板块</t>
  </si>
  <si>
    <t>14220.08亿</t>
  </si>
  <si>
    <t>装配式建筑</t>
  </si>
  <si>
    <t>10310.39亿</t>
  </si>
  <si>
    <t>盐湖提锂</t>
  </si>
  <si>
    <t>13261.21亿</t>
  </si>
  <si>
    <t>AI手机PC</t>
  </si>
  <si>
    <t>10000.78亿</t>
  </si>
  <si>
    <t>MiniLED</t>
  </si>
  <si>
    <t>13154.46亿</t>
  </si>
  <si>
    <t>华为海思</t>
  </si>
  <si>
    <t>9924.37亿</t>
  </si>
  <si>
    <t>肝炎概念</t>
  </si>
  <si>
    <t>13130.79亿</t>
  </si>
  <si>
    <t>降解塑料</t>
  </si>
  <si>
    <t>9733.92亿</t>
  </si>
  <si>
    <t>钴金属</t>
  </si>
  <si>
    <t>12794.86亿</t>
  </si>
  <si>
    <t>电器仪表</t>
  </si>
  <si>
    <t>9406.21亿</t>
  </si>
  <si>
    <t>河北板块</t>
  </si>
  <si>
    <t>12227.34亿</t>
  </si>
  <si>
    <t>商业连锁</t>
  </si>
  <si>
    <t>9289.01亿</t>
  </si>
  <si>
    <t>IT设备</t>
  </si>
  <si>
    <t>11531.62亿</t>
  </si>
  <si>
    <t>送转潜力</t>
  </si>
  <si>
    <t>9276.72亿</t>
  </si>
  <si>
    <t>新冠药概念</t>
  </si>
  <si>
    <t>10970.59亿</t>
  </si>
  <si>
    <t>体育概念</t>
  </si>
  <si>
    <t>9026.01亿</t>
  </si>
  <si>
    <t>BIPV概念</t>
  </si>
  <si>
    <t>10369.61亿</t>
  </si>
  <si>
    <t>家庭医生</t>
  </si>
  <si>
    <t>8984.95亿</t>
  </si>
  <si>
    <t>减肥药</t>
  </si>
  <si>
    <t>10151.67亿</t>
  </si>
  <si>
    <t>混合现实</t>
  </si>
  <si>
    <t>8939.77亿</t>
  </si>
  <si>
    <t>镍金属</t>
  </si>
  <si>
    <t>9724.80亿</t>
  </si>
  <si>
    <t>高压快充</t>
  </si>
  <si>
    <t>8900.58亿</t>
  </si>
  <si>
    <t>信托重仓</t>
  </si>
  <si>
    <t>9390.30亿</t>
  </si>
  <si>
    <t>互联网</t>
  </si>
  <si>
    <t>8616.79亿</t>
  </si>
  <si>
    <t>磷概念</t>
  </si>
  <si>
    <t>9069.79亿</t>
  </si>
  <si>
    <t>绿色建筑</t>
  </si>
  <si>
    <t>8584.77亿</t>
  </si>
  <si>
    <t>军工信息化</t>
  </si>
  <si>
    <t>8572.98亿</t>
  </si>
  <si>
    <t>高负债率</t>
  </si>
  <si>
    <t>8482.59亿</t>
  </si>
  <si>
    <t>辽宁板块</t>
  </si>
  <si>
    <t>8358.08亿</t>
  </si>
  <si>
    <t>免疫治疗</t>
  </si>
  <si>
    <t>7815.19亿</t>
  </si>
  <si>
    <t>江西板块</t>
  </si>
  <si>
    <t>8263.98亿</t>
  </si>
  <si>
    <t>化肥概念</t>
  </si>
  <si>
    <t>7633.64亿</t>
  </si>
  <si>
    <t>近已解禁</t>
  </si>
  <si>
    <t>8154.87亿</t>
  </si>
  <si>
    <t>工程机械</t>
  </si>
  <si>
    <t>7375.20亿</t>
  </si>
  <si>
    <t>建材</t>
  </si>
  <si>
    <t>7351.07亿</t>
  </si>
  <si>
    <t>内蒙板块</t>
  </si>
  <si>
    <t>7305.97亿</t>
  </si>
  <si>
    <t>仓储物流</t>
  </si>
  <si>
    <t>7141.22亿</t>
  </si>
  <si>
    <t>铜缆高速连接</t>
  </si>
  <si>
    <t>6852.19亿</t>
  </si>
  <si>
    <t>CXO概念</t>
  </si>
  <si>
    <t>6308.52亿</t>
  </si>
  <si>
    <t>垃圾分类</t>
  </si>
  <si>
    <t>6839.92亿</t>
  </si>
  <si>
    <t>纺织服饰</t>
  </si>
  <si>
    <t>6003.46亿</t>
  </si>
  <si>
    <t>被举牌</t>
  </si>
  <si>
    <t>6828.39亿</t>
  </si>
  <si>
    <t>幽门螺杆菌</t>
  </si>
  <si>
    <t>5964.65亿</t>
  </si>
  <si>
    <t>NFT概念</t>
  </si>
  <si>
    <t>6582.06亿</t>
  </si>
  <si>
    <t>氟概念</t>
  </si>
  <si>
    <t>5622.45亿</t>
  </si>
  <si>
    <t>海南自贸</t>
  </si>
  <si>
    <t>6333.11亿</t>
  </si>
  <si>
    <t>辅助生殖</t>
  </si>
  <si>
    <t>5577.63亿</t>
  </si>
  <si>
    <t>新型烟草</t>
  </si>
  <si>
    <t>6207.90亿</t>
  </si>
  <si>
    <t>广告包装</t>
  </si>
  <si>
    <t>3810.78亿</t>
  </si>
  <si>
    <t>高校背景</t>
  </si>
  <si>
    <t>6185.06亿</t>
  </si>
  <si>
    <t>知识产权</t>
  </si>
  <si>
    <t>3802.24亿</t>
  </si>
  <si>
    <t>血氧仪</t>
  </si>
  <si>
    <t>6038.14亿</t>
  </si>
  <si>
    <t>吉林板块</t>
  </si>
  <si>
    <t>3731.00亿</t>
  </si>
  <si>
    <t>碳纤维</t>
  </si>
  <si>
    <t>5982.40亿</t>
  </si>
  <si>
    <t>电子身份证</t>
  </si>
  <si>
    <t>3328.84亿</t>
  </si>
  <si>
    <t>聚氨酯</t>
  </si>
  <si>
    <t>5779.97亿</t>
  </si>
  <si>
    <t>供气供热</t>
  </si>
  <si>
    <t>3205.64亿</t>
  </si>
  <si>
    <t>钒电池</t>
  </si>
  <si>
    <t>5600.87亿</t>
  </si>
  <si>
    <t>高质押股</t>
  </si>
  <si>
    <t>3179.94亿</t>
  </si>
  <si>
    <t>股东减持</t>
  </si>
  <si>
    <t>5237.09亿</t>
  </si>
  <si>
    <t>业绩预升</t>
  </si>
  <si>
    <t>3054.53亿</t>
  </si>
  <si>
    <t>多元金融</t>
  </si>
  <si>
    <t>5170.14亿</t>
  </si>
  <si>
    <t>甘肃板块</t>
  </si>
  <si>
    <t>2972.08亿</t>
  </si>
  <si>
    <t>工业大麻</t>
  </si>
  <si>
    <t>5141.51亿</t>
  </si>
  <si>
    <t>PVDF概念</t>
  </si>
  <si>
    <t>2926.63亿</t>
  </si>
  <si>
    <t>核污染防治</t>
  </si>
  <si>
    <t>5024.23亿</t>
  </si>
  <si>
    <t>摘帽</t>
  </si>
  <si>
    <t>2781.53亿</t>
  </si>
  <si>
    <t>股东增持</t>
  </si>
  <si>
    <t>4809.86亿</t>
  </si>
  <si>
    <t>医废处理</t>
  </si>
  <si>
    <t>2667.81亿</t>
  </si>
  <si>
    <t>复合铜箔</t>
  </si>
  <si>
    <t>4400.85亿</t>
  </si>
  <si>
    <t>送转超跌</t>
  </si>
  <si>
    <t>2431.92亿</t>
  </si>
  <si>
    <t>工业气体</t>
  </si>
  <si>
    <t>3819.27亿</t>
  </si>
  <si>
    <t>青海板块</t>
  </si>
  <si>
    <t>2158.74亿</t>
  </si>
  <si>
    <t>ETC概念</t>
  </si>
  <si>
    <t>3763.98亿</t>
  </si>
  <si>
    <t>造纸</t>
  </si>
  <si>
    <t>2116.82亿</t>
  </si>
  <si>
    <t>云游戏</t>
  </si>
  <si>
    <t>3743.54亿</t>
  </si>
  <si>
    <t>水务</t>
  </si>
  <si>
    <t>1443.96亿</t>
  </si>
  <si>
    <t>胎压监测</t>
  </si>
  <si>
    <t>3046.16亿</t>
  </si>
  <si>
    <t>Ｂ股指数</t>
  </si>
  <si>
    <t>696.90亿</t>
  </si>
  <si>
    <t>Sora概念</t>
  </si>
  <si>
    <t>2858.95亿</t>
  </si>
  <si>
    <t>深证Ｂ指</t>
  </si>
  <si>
    <t>563.62亿</t>
  </si>
  <si>
    <t>土地流转</t>
  </si>
  <si>
    <t>2848.68亿</t>
  </si>
  <si>
    <t>风沙治理</t>
  </si>
  <si>
    <t>442.32亿</t>
  </si>
  <si>
    <t>人造肉</t>
  </si>
  <si>
    <t>2520.39亿</t>
  </si>
  <si>
    <t>成份Ｂ指</t>
  </si>
  <si>
    <t>400.93亿</t>
  </si>
  <si>
    <t>个人持股</t>
  </si>
  <si>
    <t>2332.71亿</t>
  </si>
  <si>
    <t>公共交通</t>
  </si>
  <si>
    <t>326.74亿</t>
  </si>
  <si>
    <t>地热能</t>
  </si>
  <si>
    <t>2206.57亿</t>
  </si>
  <si>
    <t>--</t>
  </si>
  <si>
    <t>虫害防治</t>
  </si>
  <si>
    <t>1985.03亿</t>
  </si>
  <si>
    <t>赛马概念</t>
  </si>
  <si>
    <t>1951.52亿</t>
  </si>
  <si>
    <t>国企改革</t>
  </si>
  <si>
    <t>数字水印</t>
  </si>
  <si>
    <t>1839.12亿</t>
  </si>
  <si>
    <t>中证 500</t>
  </si>
  <si>
    <t>烟草概念</t>
  </si>
  <si>
    <t>1688.95亿</t>
  </si>
  <si>
    <t>中证100</t>
  </si>
  <si>
    <t>壳资源</t>
  </si>
  <si>
    <t>1268.18亿</t>
  </si>
  <si>
    <t>深主板50</t>
  </si>
  <si>
    <t>水产品</t>
  </si>
  <si>
    <t>325.73亿</t>
  </si>
  <si>
    <t>科技100</t>
  </si>
  <si>
    <t>活跃ETF</t>
  </si>
  <si>
    <t>投资时钟</t>
  </si>
  <si>
    <t>科创生物</t>
  </si>
  <si>
    <t>小盘成长</t>
  </si>
  <si>
    <t>超大盘</t>
  </si>
  <si>
    <t>大盘成长</t>
  </si>
  <si>
    <t>国证粮食</t>
  </si>
  <si>
    <t>国证价值</t>
  </si>
  <si>
    <t>国证成长</t>
  </si>
  <si>
    <t>能源金属</t>
  </si>
  <si>
    <t>民企100</t>
  </si>
  <si>
    <t>国证基建</t>
  </si>
  <si>
    <t>环渤海</t>
  </si>
  <si>
    <t>深证价值</t>
  </si>
  <si>
    <t>深证成长</t>
  </si>
  <si>
    <t>深证红利</t>
  </si>
  <si>
    <t>国证治理</t>
  </si>
  <si>
    <t>国证服务</t>
  </si>
  <si>
    <t>深证ETF</t>
  </si>
  <si>
    <t>数字经济</t>
  </si>
  <si>
    <t>创业小盘</t>
  </si>
  <si>
    <t>创业200</t>
  </si>
  <si>
    <t>创业创新</t>
  </si>
  <si>
    <t>配股预案</t>
  </si>
  <si>
    <t>宽基ETF</t>
  </si>
  <si>
    <t>腾讯济安</t>
  </si>
  <si>
    <t>科创材料</t>
  </si>
  <si>
    <t>科创高装</t>
  </si>
  <si>
    <t>沪股通</t>
  </si>
  <si>
    <t>农业主题</t>
  </si>
  <si>
    <t>上证中盘</t>
  </si>
  <si>
    <t>治理指数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</si>
  <si>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</si>
  <si>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</si>
  <si>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</si>
  <si>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</si>
  <si>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</si>
  <si>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</si>
  <si>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</si>
  <si>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</si>
  <si>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</si>
  <si>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</si>
  <si>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</si>
  <si>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</si>
  <si>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</si>
  <si>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</si>
  <si>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</si>
  <si>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</si>
  <si>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</si>
  <si>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</si>
  <si>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</si>
  <si>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</si>
  <si>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</si>
  <si>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</si>
  <si>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</si>
  <si>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</si>
  <si>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</si>
  <si>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</si>
  <si>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</si>
  <si>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</si>
  <si>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</si>
  <si>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</si>
  <si>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</si>
  <si>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</si>
  <si>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工业指数</t>
  </si>
  <si>
    <t>地产指数</t>
  </si>
  <si>
    <t>公用指数</t>
  </si>
  <si>
    <t>基金指数</t>
  </si>
  <si>
    <t>红利指数</t>
  </si>
  <si>
    <t>上证50</t>
  </si>
  <si>
    <t>180治理</t>
  </si>
  <si>
    <t>180资源</t>
  </si>
  <si>
    <t>180运输</t>
  </si>
  <si>
    <t>180成长</t>
  </si>
  <si>
    <t>180价值</t>
  </si>
  <si>
    <t>180R成长</t>
  </si>
  <si>
    <t>180R价值</t>
  </si>
  <si>
    <t>上证能源</t>
  </si>
  <si>
    <t>上证材料</t>
  </si>
  <si>
    <t>上证工业</t>
  </si>
  <si>
    <t>上证可选</t>
  </si>
  <si>
    <t>上证信息</t>
  </si>
  <si>
    <t>上证央企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</si>
  <si>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</si>
  <si>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</si>
  <si>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</si>
  <si>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</si>
  <si>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</si>
  <si>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</si>
  <si>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</si>
  <si>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</si>
  <si>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</si>
  <si>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</si>
  <si>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</si>
  <si>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</si>
  <si>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</si>
  <si>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</si>
  <si>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</si>
  <si>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</si>
  <si>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</si>
  <si>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</si>
  <si>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</si>
  <si>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</si>
  <si>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</si>
  <si>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</si>
  <si>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</si>
  <si>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能源等权</t>
  </si>
  <si>
    <t>材料等权</t>
  </si>
  <si>
    <t>工业等权</t>
  </si>
  <si>
    <t>可选等权</t>
  </si>
  <si>
    <t>上证流通</t>
  </si>
  <si>
    <t>资源50</t>
  </si>
  <si>
    <t>180分层</t>
  </si>
  <si>
    <t>上证上游</t>
  </si>
  <si>
    <t>上证中游</t>
  </si>
  <si>
    <t>高端装备</t>
  </si>
  <si>
    <t>上证F200</t>
  </si>
  <si>
    <t>上证F300</t>
  </si>
  <si>
    <t>上证F500</t>
  </si>
  <si>
    <t>沪投资品</t>
  </si>
  <si>
    <t>380能源</t>
  </si>
  <si>
    <t>380材料</t>
  </si>
  <si>
    <t>380工业</t>
  </si>
  <si>
    <t>380可选</t>
  </si>
  <si>
    <t>380公用</t>
  </si>
  <si>
    <t>持续产业</t>
  </si>
  <si>
    <t>380成长</t>
  </si>
  <si>
    <t>380价值</t>
  </si>
  <si>
    <t>380R价值</t>
  </si>
  <si>
    <t>180动态</t>
  </si>
  <si>
    <t>180稳定</t>
  </si>
  <si>
    <t>消费50</t>
  </si>
  <si>
    <t>380基本</t>
  </si>
  <si>
    <t>180波动</t>
  </si>
  <si>
    <t>380波动</t>
  </si>
  <si>
    <t>180高贝</t>
  </si>
  <si>
    <t>180低贝</t>
  </si>
  <si>
    <t>380低贝</t>
  </si>
  <si>
    <t>380稳定</t>
  </si>
  <si>
    <t>优势资源</t>
  </si>
  <si>
    <t>优势制造</t>
  </si>
  <si>
    <t>180红利</t>
  </si>
  <si>
    <t>380红利</t>
  </si>
  <si>
    <t>上国红利</t>
  </si>
  <si>
    <t>上央红利</t>
  </si>
  <si>
    <t>市值百强</t>
  </si>
  <si>
    <t>上证环保</t>
  </si>
  <si>
    <t>沪新丝路</t>
  </si>
  <si>
    <t>沪中国造</t>
  </si>
  <si>
    <t>新兴成指</t>
  </si>
  <si>
    <t>中证A500</t>
  </si>
  <si>
    <t>科创50</t>
  </si>
  <si>
    <t>科创ESG</t>
  </si>
  <si>
    <t>科创新能</t>
  </si>
  <si>
    <t>科大湾区</t>
  </si>
  <si>
    <t>500沪市</t>
  </si>
  <si>
    <t>A股资源</t>
  </si>
  <si>
    <t>细分机械</t>
  </si>
  <si>
    <t>细分化工</t>
  </si>
  <si>
    <t>煤炭指数</t>
  </si>
  <si>
    <t>300红利</t>
  </si>
  <si>
    <t>800有色</t>
  </si>
  <si>
    <t>国企红利</t>
  </si>
  <si>
    <t>央企红利</t>
  </si>
  <si>
    <t>中证环保</t>
  </si>
  <si>
    <t>300高贝</t>
  </si>
  <si>
    <t>ESG 100</t>
  </si>
  <si>
    <t>300非银</t>
  </si>
  <si>
    <t>百发100</t>
  </si>
  <si>
    <t>CSSW丝路</t>
  </si>
  <si>
    <t>央视500</t>
  </si>
  <si>
    <t>500工业</t>
  </si>
  <si>
    <t>国企一带一路</t>
  </si>
  <si>
    <t>结构调整</t>
  </si>
  <si>
    <t>央企创新</t>
  </si>
  <si>
    <t>上海国企</t>
  </si>
  <si>
    <t>上证收益</t>
  </si>
  <si>
    <t>新兴综指</t>
  </si>
  <si>
    <t>小康指数</t>
  </si>
  <si>
    <t>中证流通</t>
  </si>
  <si>
    <t>中证200</t>
  </si>
  <si>
    <t>中证700</t>
  </si>
  <si>
    <t>300能源</t>
  </si>
  <si>
    <t>300材料</t>
  </si>
  <si>
    <t>300工业</t>
  </si>
  <si>
    <t>300可选</t>
  </si>
  <si>
    <t>300金融</t>
  </si>
  <si>
    <t>300信息</t>
  </si>
  <si>
    <t>300通信</t>
  </si>
  <si>
    <t>300成长</t>
  </si>
  <si>
    <t>300价值</t>
  </si>
  <si>
    <t>中证红利</t>
  </si>
  <si>
    <t>基本面50</t>
  </si>
  <si>
    <t>中证央企</t>
  </si>
  <si>
    <t>央企100</t>
  </si>
  <si>
    <t>中证能源</t>
  </si>
  <si>
    <t>800材料</t>
  </si>
  <si>
    <t>800工业</t>
  </si>
  <si>
    <t>800可选</t>
  </si>
  <si>
    <t>中证金融</t>
  </si>
  <si>
    <t>中证信息</t>
  </si>
  <si>
    <t>800通信</t>
  </si>
  <si>
    <t>新能源</t>
  </si>
  <si>
    <t>内地资源</t>
  </si>
  <si>
    <t>内地运输</t>
  </si>
  <si>
    <t>内地地产</t>
  </si>
  <si>
    <t>300地产</t>
  </si>
  <si>
    <t>银河99</t>
  </si>
  <si>
    <t>中证上游</t>
  </si>
  <si>
    <t>中证下游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</si>
  <si>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</si>
  <si>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</si>
  <si>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</si>
  <si>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</si>
  <si>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</si>
  <si>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</si>
  <si>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</si>
  <si>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</si>
  <si>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内地低碳</t>
  </si>
  <si>
    <t>大宗商品</t>
  </si>
  <si>
    <t>中证超大</t>
  </si>
  <si>
    <t>300等权</t>
  </si>
  <si>
    <t>中证全指</t>
  </si>
  <si>
    <t>全指能源</t>
  </si>
  <si>
    <t>全指材料</t>
  </si>
  <si>
    <t>全指工业</t>
  </si>
  <si>
    <t>全指可选</t>
  </si>
  <si>
    <t>全指通信</t>
  </si>
  <si>
    <t>中证TMT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</si>
  <si>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</si>
  <si>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</si>
  <si>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</si>
  <si>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</si>
  <si>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</si>
  <si>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</si>
  <si>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</si>
  <si>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</si>
  <si>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</si>
  <si>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</si>
  <si>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碳科技30</t>
  </si>
  <si>
    <t>创新引擎</t>
  </si>
  <si>
    <t>碳科技60</t>
  </si>
  <si>
    <t>深创100</t>
  </si>
  <si>
    <t>乐富指数</t>
  </si>
  <si>
    <t>采矿指数</t>
  </si>
  <si>
    <t>制造指数</t>
  </si>
  <si>
    <t>建筑指数</t>
  </si>
  <si>
    <t>批零指数</t>
  </si>
  <si>
    <t>运输指数</t>
  </si>
  <si>
    <t>金融指数</t>
  </si>
  <si>
    <t>商务指数</t>
  </si>
  <si>
    <t>科研指数</t>
  </si>
  <si>
    <t>公共指数</t>
  </si>
  <si>
    <t>绿色低碳</t>
  </si>
  <si>
    <t>创业低碳</t>
  </si>
  <si>
    <t>先进制造</t>
  </si>
  <si>
    <t>创业制造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</si>
  <si>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</si>
  <si>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</si>
  <si>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</si>
  <si>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</si>
  <si>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</si>
  <si>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</si>
  <si>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</si>
  <si>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</si>
  <si>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长江100</t>
  </si>
  <si>
    <t>云科技50</t>
  </si>
  <si>
    <t>生物50</t>
  </si>
  <si>
    <t>电子50</t>
  </si>
  <si>
    <t>物联网50</t>
  </si>
  <si>
    <t>区块链50</t>
  </si>
  <si>
    <t>创精选88</t>
  </si>
  <si>
    <t>民企发展</t>
  </si>
  <si>
    <t>创业大盘</t>
  </si>
  <si>
    <t>中小创Q</t>
  </si>
  <si>
    <t>创价值</t>
  </si>
  <si>
    <t>创成长</t>
  </si>
  <si>
    <t>国证A50</t>
  </si>
  <si>
    <t>国证1000</t>
  </si>
  <si>
    <t>国证300</t>
  </si>
  <si>
    <t>巨潮100</t>
  </si>
  <si>
    <t>巨潮大盘</t>
  </si>
  <si>
    <t>巨潮中盘</t>
  </si>
  <si>
    <t>国证Ａ指</t>
  </si>
  <si>
    <t>国证Ｂ指</t>
  </si>
  <si>
    <t>资源优势</t>
  </si>
  <si>
    <t>国证红利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</si>
  <si>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</si>
  <si>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</si>
  <si>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</si>
  <si>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</si>
  <si>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</si>
  <si>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</si>
  <si>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</si>
  <si>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</si>
  <si>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</si>
  <si>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皖江30</t>
  </si>
  <si>
    <t>创新示范</t>
  </si>
  <si>
    <t>深企综指</t>
  </si>
  <si>
    <t>国证物流</t>
  </si>
  <si>
    <t>分析师指数</t>
  </si>
  <si>
    <t>长三角</t>
  </si>
  <si>
    <t>珠三角</t>
  </si>
  <si>
    <t>国证环保</t>
  </si>
  <si>
    <t>国证算力</t>
  </si>
  <si>
    <t>1000地产</t>
  </si>
  <si>
    <t>国证军工</t>
  </si>
  <si>
    <t>国证责任</t>
  </si>
  <si>
    <t>大盘价值</t>
  </si>
  <si>
    <t>中盘成长</t>
  </si>
  <si>
    <t>中盘价值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</si>
  <si>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</si>
  <si>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</si>
  <si>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</si>
  <si>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</si>
  <si>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</si>
  <si>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</si>
  <si>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</si>
  <si>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</si>
  <si>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</si>
  <si>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</si>
  <si>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</si>
  <si>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</si>
  <si>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</si>
  <si>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国证有色</t>
  </si>
  <si>
    <t>绩效指数</t>
  </si>
  <si>
    <t>中经GDP</t>
  </si>
  <si>
    <t>大中盘</t>
  </si>
  <si>
    <t>中小盘</t>
  </si>
  <si>
    <t>周期100</t>
  </si>
  <si>
    <t>大盘高贝</t>
  </si>
  <si>
    <t>中盘低波</t>
  </si>
  <si>
    <t>中盘高贝</t>
  </si>
  <si>
    <t>小盘低波</t>
  </si>
  <si>
    <t>苏州率先</t>
  </si>
  <si>
    <t>红利100</t>
  </si>
  <si>
    <t>国证新能</t>
  </si>
  <si>
    <t>I100</t>
  </si>
  <si>
    <t>国证高铁</t>
  </si>
  <si>
    <t>国证保证</t>
  </si>
  <si>
    <t>中关村A</t>
  </si>
  <si>
    <t>新丝路</t>
  </si>
  <si>
    <t>国证交运</t>
  </si>
  <si>
    <t>绿色煤炭</t>
  </si>
  <si>
    <t>证券龙头</t>
  </si>
  <si>
    <t>国证油气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</si>
  <si>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</si>
  <si>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</si>
  <si>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</si>
  <si>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</si>
  <si>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</si>
  <si>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</si>
  <si>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</si>
  <si>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创业板R</t>
  </si>
  <si>
    <t>TMT50</t>
  </si>
  <si>
    <t>中创100R</t>
  </si>
  <si>
    <t>中创100</t>
  </si>
  <si>
    <t>深证能源</t>
  </si>
  <si>
    <t>深证材料</t>
  </si>
  <si>
    <t>深证工业</t>
  </si>
  <si>
    <t>深证医药</t>
  </si>
  <si>
    <t>深证金融</t>
  </si>
  <si>
    <t>深证信息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</si>
  <si>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</si>
  <si>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</si>
  <si>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</si>
  <si>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</si>
  <si>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</si>
  <si>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</si>
  <si>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</si>
  <si>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</si>
  <si>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</si>
  <si>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</si>
  <si>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</si>
  <si>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</si>
  <si>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</si>
  <si>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</si>
  <si>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</si>
  <si>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</si>
  <si>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</si>
  <si>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</si>
  <si>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</si>
  <si>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</si>
  <si>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</si>
  <si>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</si>
  <si>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100低波</t>
  </si>
  <si>
    <t>深医药50</t>
  </si>
  <si>
    <t>深证GDP</t>
  </si>
  <si>
    <t>中小红利</t>
  </si>
  <si>
    <t>中小治理</t>
  </si>
  <si>
    <t>深证龙头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</si>
  <si>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</si>
  <si>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</si>
  <si>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</si>
  <si>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</si>
  <si>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</si>
  <si>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</si>
  <si>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</si>
  <si>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</si>
  <si>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</si>
  <si>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中创高贝</t>
  </si>
  <si>
    <t>创业成长</t>
  </si>
  <si>
    <t>创业板V</t>
  </si>
  <si>
    <t>深周期50</t>
  </si>
  <si>
    <t>深防御50</t>
  </si>
  <si>
    <t>深红利50</t>
  </si>
  <si>
    <t>创业板50</t>
  </si>
  <si>
    <t>深A医药</t>
  </si>
  <si>
    <t>深次新股</t>
  </si>
  <si>
    <t>深证200R</t>
  </si>
  <si>
    <t>深成能源</t>
  </si>
  <si>
    <t>深成材料</t>
  </si>
  <si>
    <t>深成工业</t>
  </si>
  <si>
    <t>深成医药</t>
  </si>
  <si>
    <t>深成金融</t>
  </si>
  <si>
    <t>深成信息</t>
  </si>
  <si>
    <t>深成电信</t>
  </si>
  <si>
    <t>深成公用</t>
  </si>
  <si>
    <t>创业低波</t>
  </si>
  <si>
    <t>安防产业</t>
  </si>
  <si>
    <t>创业高贝</t>
  </si>
  <si>
    <t>深证节能</t>
  </si>
  <si>
    <t>深证创投</t>
  </si>
  <si>
    <t>深证F60</t>
  </si>
  <si>
    <t>深证F120</t>
  </si>
  <si>
    <t>深证F200</t>
  </si>
  <si>
    <t>深证上游</t>
  </si>
  <si>
    <t>深证中游</t>
  </si>
  <si>
    <t>CSSW证券</t>
  </si>
  <si>
    <t>500深市</t>
  </si>
  <si>
    <t>中证体育</t>
  </si>
  <si>
    <t>高铁产业</t>
  </si>
  <si>
    <t>中证新能</t>
  </si>
  <si>
    <t>保险主题</t>
  </si>
  <si>
    <t>CSSW电子</t>
  </si>
  <si>
    <t>深证50</t>
  </si>
  <si>
    <t>300 金融</t>
  </si>
  <si>
    <t>军工指数</t>
  </si>
  <si>
    <t>800地产</t>
  </si>
  <si>
    <t>800非银</t>
  </si>
  <si>
    <t>中证军工</t>
  </si>
  <si>
    <t>移动互联</t>
  </si>
  <si>
    <t>300深市</t>
  </si>
  <si>
    <t>证券公司</t>
  </si>
  <si>
    <t>CS新能车</t>
  </si>
  <si>
    <t>地产等权</t>
  </si>
  <si>
    <t>煤炭等权</t>
  </si>
  <si>
    <t>一带一路</t>
  </si>
  <si>
    <t>CSWD并购</t>
  </si>
  <si>
    <t>基建工程</t>
  </si>
  <si>
    <t>中证煤炭</t>
  </si>
  <si>
    <t>疫苗生科</t>
  </si>
  <si>
    <t>新能源电池</t>
  </si>
  <si>
    <t>龙头家电</t>
  </si>
  <si>
    <t>消费电子</t>
  </si>
  <si>
    <t>新能电池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</si>
  <si>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</si>
  <si>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</si>
  <si>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</si>
  <si>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</si>
  <si>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</si>
  <si>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</si>
  <si>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</si>
  <si>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AU00</t>
  </si>
  <si>
    <t>黄金连续</t>
  </si>
  <si>
    <t>AO00</t>
  </si>
  <si>
    <t>氧化铝连续</t>
  </si>
  <si>
    <t>EB00</t>
  </si>
  <si>
    <t>苯乙烯连续</t>
  </si>
  <si>
    <t>BR00</t>
  </si>
  <si>
    <t>丁二烯橡胶连续</t>
  </si>
  <si>
    <t>BUX00</t>
  </si>
  <si>
    <t>沥青连续</t>
  </si>
  <si>
    <t>CU00</t>
  </si>
  <si>
    <t>沪铜连续</t>
  </si>
  <si>
    <t>HC00</t>
  </si>
  <si>
    <t>轧卷板连续</t>
  </si>
  <si>
    <t>NI00</t>
  </si>
  <si>
    <t>沪镍连续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</si>
  <si>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</si>
  <si>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</si>
  <si>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</si>
  <si>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</si>
  <si>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</si>
  <si>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</si>
  <si>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</si>
  <si>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</si>
  <si>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ZN00</t>
  </si>
  <si>
    <t>沪锌连续</t>
  </si>
  <si>
    <t>EG00</t>
  </si>
  <si>
    <t>乙二醇连续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</si>
  <si>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</si>
  <si>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</si>
  <si>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</si>
  <si>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</si>
  <si>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</si>
  <si>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</si>
  <si>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</si>
  <si>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</si>
  <si>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PP00</t>
  </si>
  <si>
    <t>聚丙烯连续</t>
  </si>
  <si>
    <t>V00</t>
  </si>
  <si>
    <t>聚氯乙烯连续</t>
  </si>
  <si>
    <t>CF00</t>
  </si>
  <si>
    <t>棉花连续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</si>
  <si>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</si>
  <si>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</si>
  <si>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</si>
  <si>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</si>
  <si>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</si>
  <si>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</si>
  <si>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</si>
  <si>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</si>
  <si>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PR00</t>
  </si>
  <si>
    <t>瓶片连续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</si>
  <si>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</si>
  <si>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</si>
  <si>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</si>
  <si>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</si>
  <si>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</si>
  <si>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</si>
  <si>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</si>
  <si>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</si>
  <si>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SH00</t>
  </si>
  <si>
    <t>烧碱连续</t>
  </si>
  <si>
    <t>TA00</t>
  </si>
  <si>
    <t>PTA连续</t>
  </si>
  <si>
    <t>ZC00</t>
  </si>
  <si>
    <t>动力煤连续</t>
  </si>
  <si>
    <t>IF00</t>
  </si>
  <si>
    <t>300股指连续</t>
  </si>
  <si>
    <t>IH00</t>
  </si>
  <si>
    <t>50股指连续</t>
  </si>
  <si>
    <t>BC00</t>
  </si>
  <si>
    <t>国际铜连续</t>
  </si>
  <si>
    <t>LU00</t>
  </si>
  <si>
    <t>低硫燃油连续</t>
  </si>
  <si>
    <t>NR00</t>
  </si>
  <si>
    <t>20号胶连续</t>
  </si>
  <si>
    <t>LC00</t>
  </si>
  <si>
    <t>碳酸锂连续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</si>
  <si>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</si>
  <si>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</si>
  <si>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</si>
  <si>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</si>
  <si>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</si>
  <si>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</si>
  <si>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</si>
  <si>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</si>
  <si>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FU00</t>
  </si>
  <si>
    <t>燃油连续</t>
  </si>
  <si>
    <t>PB00</t>
  </si>
  <si>
    <t>沪铅连续</t>
  </si>
  <si>
    <t>SN00</t>
  </si>
  <si>
    <t>沪锡连续</t>
  </si>
  <si>
    <t>SS00</t>
  </si>
  <si>
    <t>不锈钢连续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</si>
  <si>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</si>
  <si>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</si>
  <si>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</si>
  <si>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</si>
  <si>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</si>
  <si>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</si>
  <si>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</si>
  <si>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</si>
  <si>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</si>
  <si>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</si>
  <si>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</si>
  <si>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</si>
  <si>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</si>
  <si>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</si>
  <si>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</si>
  <si>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</si>
  <si>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</si>
  <si>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</si>
  <si>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</si>
  <si>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</si>
  <si>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</si>
  <si>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</si>
  <si>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</si>
  <si>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</si>
  <si>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</si>
  <si>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</si>
  <si>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</si>
  <si>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</si>
  <si>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AP00</t>
  </si>
  <si>
    <t>苹果连续</t>
  </si>
  <si>
    <t>CJ00</t>
  </si>
  <si>
    <t>红枣连续</t>
  </si>
  <si>
    <t>CY00</t>
  </si>
  <si>
    <t>棉纱连续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</si>
  <si>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</si>
  <si>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</si>
  <si>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</si>
  <si>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</si>
  <si>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</si>
  <si>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</si>
  <si>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</si>
  <si>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</si>
  <si>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</si>
  <si>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</si>
  <si>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</si>
  <si>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</si>
  <si>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SM00</t>
  </si>
  <si>
    <t>锰硅连续</t>
  </si>
  <si>
    <t>SRX00</t>
  </si>
  <si>
    <t>白糖连续</t>
  </si>
  <si>
    <t>WH00</t>
  </si>
  <si>
    <t>强麦连续</t>
  </si>
  <si>
    <t>IC00</t>
  </si>
  <si>
    <t>500股指连续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</si>
  <si>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</si>
  <si>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</si>
  <si>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</si>
  <si>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</si>
  <si>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</si>
  <si>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</si>
  <si>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</si>
  <si>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</si>
  <si>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</si>
  <si>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</si>
  <si>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</si>
  <si>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</si>
  <si>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SC0000</t>
  </si>
  <si>
    <t>原油连续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</si>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</sst>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I32" sqref="I32"/>
    </sheetView>
  </sheetViews>
  <sheetFormatPr defaultColWidth="9" defaultRowHeight="22.5" outlineLevelCol="5"/>
  <cols>
    <col min="1" max="1" width="8.125" style="22" customWidth="1"/>
    <col min="2" max="2" width="12.875" style="22" customWidth="1"/>
    <col min="3" max="3" width="11.875" style="22" customWidth="1"/>
    <col min="4" max="4" width="8.125" style="22" customWidth="1"/>
    <col min="5" max="5" width="13.75" style="22" customWidth="1"/>
    <col min="6" max="6" width="13.125" style="22" customWidth="1"/>
    <col min="7" max="16384" width="9" style="22"/>
  </cols>
  <sheetData>
    <row r="1" spans="1:6">
      <c r="A1" s="23" t="s">
        <v>0</v>
      </c>
      <c r="B1" s="23"/>
      <c r="C1" s="23"/>
      <c r="D1" s="24" t="s">
        <v>1</v>
      </c>
      <c r="E1" s="24"/>
      <c r="F1" s="24"/>
    </row>
    <row r="2" spans="1:6">
      <c r="A2" s="25" t="s">
        <v>2</v>
      </c>
      <c r="B2" s="25" t="s">
        <v>3</v>
      </c>
      <c r="C2" s="25" t="s">
        <v>4</v>
      </c>
      <c r="D2" s="26" t="s">
        <v>2</v>
      </c>
      <c r="E2" s="26" t="s">
        <v>3</v>
      </c>
      <c r="F2" s="26" t="s">
        <v>4</v>
      </c>
    </row>
    <row r="3" ht="16.5" spans="1:6">
      <c r="A3" s="27" t="str">
        <f>"000906"</f>
        <v>000906</v>
      </c>
      <c r="B3" s="27" t="s">
        <v>5</v>
      </c>
      <c r="C3" s="27" t="s">
        <v>6</v>
      </c>
      <c r="D3" s="27" t="str">
        <f>"880826"</f>
        <v>880826</v>
      </c>
      <c r="E3" s="27" t="s">
        <v>7</v>
      </c>
      <c r="F3" s="27" t="s">
        <v>8</v>
      </c>
    </row>
    <row r="4" ht="16.5" spans="1:6">
      <c r="A4" s="27" t="str">
        <f>"000001"</f>
        <v>000001</v>
      </c>
      <c r="B4" s="27" t="s">
        <v>9</v>
      </c>
      <c r="C4" s="27" t="s">
        <v>10</v>
      </c>
      <c r="D4" s="27" t="str">
        <f>"000992"</f>
        <v>000992</v>
      </c>
      <c r="E4" s="27" t="s">
        <v>11</v>
      </c>
      <c r="F4" s="27" t="s">
        <v>12</v>
      </c>
    </row>
    <row r="5" ht="16.5" spans="1:6">
      <c r="A5" s="27" t="str">
        <f>"999999"</f>
        <v>999999</v>
      </c>
      <c r="B5" s="27" t="s">
        <v>9</v>
      </c>
      <c r="C5" s="27" t="s">
        <v>10</v>
      </c>
      <c r="D5" s="27" t="str">
        <f>"880730"</f>
        <v>880730</v>
      </c>
      <c r="E5" s="27" t="s">
        <v>13</v>
      </c>
      <c r="F5" s="27" t="s">
        <v>14</v>
      </c>
    </row>
    <row r="6" ht="16.5" spans="1:6">
      <c r="A6" s="27" t="str">
        <f>"000017"</f>
        <v>000017</v>
      </c>
      <c r="B6" s="27" t="s">
        <v>15</v>
      </c>
      <c r="C6" s="27" t="s">
        <v>16</v>
      </c>
      <c r="D6" s="27" t="str">
        <f>"880849"</f>
        <v>880849</v>
      </c>
      <c r="E6" s="27" t="s">
        <v>17</v>
      </c>
      <c r="F6" s="27" t="s">
        <v>18</v>
      </c>
    </row>
    <row r="7" ht="16.5" spans="1:6">
      <c r="A7" s="27" t="str">
        <f>"000002"</f>
        <v>000002</v>
      </c>
      <c r="B7" s="27" t="s">
        <v>19</v>
      </c>
      <c r="C7" s="27" t="s">
        <v>20</v>
      </c>
      <c r="D7" s="27" t="str">
        <f>"880845"</f>
        <v>880845</v>
      </c>
      <c r="E7" s="27" t="s">
        <v>21</v>
      </c>
      <c r="F7" s="27" t="s">
        <v>22</v>
      </c>
    </row>
    <row r="8" ht="16.5" spans="1:6">
      <c r="A8" s="27" t="str">
        <f>"000300"</f>
        <v>000300</v>
      </c>
      <c r="B8" s="27" t="s">
        <v>23</v>
      </c>
      <c r="C8" s="27" t="s">
        <v>24</v>
      </c>
      <c r="D8" s="27" t="str">
        <f>"880952"</f>
        <v>880952</v>
      </c>
      <c r="E8" s="27" t="s">
        <v>25</v>
      </c>
      <c r="F8" s="27" t="s">
        <v>26</v>
      </c>
    </row>
    <row r="9" ht="16.5" spans="1:6">
      <c r="A9" s="27" t="str">
        <f>"399300"</f>
        <v>399300</v>
      </c>
      <c r="B9" s="27" t="s">
        <v>23</v>
      </c>
      <c r="C9" s="27" t="s">
        <v>24</v>
      </c>
      <c r="D9" s="27" t="str">
        <f>"000993"</f>
        <v>000993</v>
      </c>
      <c r="E9" s="27" t="s">
        <v>27</v>
      </c>
      <c r="F9" s="27" t="s">
        <v>28</v>
      </c>
    </row>
    <row r="10" ht="16.5" spans="1:6">
      <c r="A10" s="27" t="str">
        <f>"880883"</f>
        <v>880883</v>
      </c>
      <c r="B10" s="27" t="s">
        <v>29</v>
      </c>
      <c r="C10" s="27" t="s">
        <v>30</v>
      </c>
      <c r="D10" s="27" t="str">
        <f>"880216"</f>
        <v>880216</v>
      </c>
      <c r="E10" s="27" t="s">
        <v>31</v>
      </c>
      <c r="F10" s="27" t="s">
        <v>32</v>
      </c>
    </row>
    <row r="11" ht="16.5" spans="1:6">
      <c r="A11" s="27" t="str">
        <f>"880821"</f>
        <v>880821</v>
      </c>
      <c r="B11" s="27" t="s">
        <v>33</v>
      </c>
      <c r="C11" s="27" t="s">
        <v>34</v>
      </c>
      <c r="D11" s="27" t="str">
        <f>"880705"</f>
        <v>880705</v>
      </c>
      <c r="E11" s="27" t="s">
        <v>35</v>
      </c>
      <c r="F11" s="27" t="s">
        <v>36</v>
      </c>
    </row>
    <row r="12" ht="16.5" spans="1:6">
      <c r="A12" s="27" t="str">
        <f>"880721"</f>
        <v>880721</v>
      </c>
      <c r="B12" s="27" t="s">
        <v>37</v>
      </c>
      <c r="C12" s="27" t="s">
        <v>38</v>
      </c>
      <c r="D12" s="27" t="str">
        <f>"880895"</f>
        <v>880895</v>
      </c>
      <c r="E12" s="27" t="s">
        <v>39</v>
      </c>
      <c r="F12" s="27" t="s">
        <v>40</v>
      </c>
    </row>
    <row r="13" ht="16.5" spans="1:6">
      <c r="A13" s="27" t="str">
        <f>"880801"</f>
        <v>880801</v>
      </c>
      <c r="B13" s="27" t="s">
        <v>41</v>
      </c>
      <c r="C13" s="27" t="s">
        <v>42</v>
      </c>
      <c r="D13" s="27" t="str">
        <f>"880506"</f>
        <v>880506</v>
      </c>
      <c r="E13" s="27" t="s">
        <v>43</v>
      </c>
      <c r="F13" s="27" t="s">
        <v>44</v>
      </c>
    </row>
    <row r="14" ht="16.5" spans="1:6">
      <c r="A14" s="27" t="str">
        <f>"399106"</f>
        <v>399106</v>
      </c>
      <c r="B14" s="27" t="s">
        <v>45</v>
      </c>
      <c r="C14" s="27" t="s">
        <v>46</v>
      </c>
      <c r="D14" s="27" t="str">
        <f>"880966"</f>
        <v>880966</v>
      </c>
      <c r="E14" s="27" t="s">
        <v>47</v>
      </c>
      <c r="F14" s="27" t="s">
        <v>48</v>
      </c>
    </row>
    <row r="15" ht="16.5" spans="1:6">
      <c r="A15" s="27" t="str">
        <f>"399001"</f>
        <v>399001</v>
      </c>
      <c r="B15" s="27" t="s">
        <v>49</v>
      </c>
      <c r="C15" s="27" t="s">
        <v>46</v>
      </c>
      <c r="D15" s="27" t="str">
        <f>"880930"</f>
        <v>880930</v>
      </c>
      <c r="E15" s="27" t="s">
        <v>50</v>
      </c>
      <c r="F15" s="27" t="s">
        <v>51</v>
      </c>
    </row>
    <row r="16" ht="16.5" spans="1:6">
      <c r="A16" s="27" t="str">
        <f>"000010"</f>
        <v>000010</v>
      </c>
      <c r="B16" s="27" t="s">
        <v>52</v>
      </c>
      <c r="C16" s="27" t="s">
        <v>53</v>
      </c>
      <c r="D16" s="27" t="str">
        <f>"880753"</f>
        <v>880753</v>
      </c>
      <c r="E16" s="27" t="s">
        <v>54</v>
      </c>
      <c r="F16" s="27" t="s">
        <v>55</v>
      </c>
    </row>
    <row r="17" ht="16.5" spans="1:6">
      <c r="A17" s="27" t="str">
        <f>"880680"</f>
        <v>880680</v>
      </c>
      <c r="B17" s="27" t="s">
        <v>56</v>
      </c>
      <c r="C17" s="27" t="s">
        <v>57</v>
      </c>
      <c r="D17" s="27" t="str">
        <f>"880861"</f>
        <v>880861</v>
      </c>
      <c r="E17" s="27" t="s">
        <v>58</v>
      </c>
      <c r="F17" s="27" t="s">
        <v>59</v>
      </c>
    </row>
    <row r="18" ht="16.5" spans="1:6">
      <c r="A18" s="27" t="str">
        <f>"399107"</f>
        <v>399107</v>
      </c>
      <c r="B18" s="27" t="s">
        <v>60</v>
      </c>
      <c r="C18" s="27" t="s">
        <v>61</v>
      </c>
      <c r="D18" s="27" t="str">
        <f>"880522"</f>
        <v>880522</v>
      </c>
      <c r="E18" s="27" t="s">
        <v>62</v>
      </c>
      <c r="F18" s="27" t="s">
        <v>63</v>
      </c>
    </row>
    <row r="19" ht="16.5" spans="1:6">
      <c r="A19" s="27" t="str">
        <f>"399100"</f>
        <v>399100</v>
      </c>
      <c r="B19" s="27" t="s">
        <v>64</v>
      </c>
      <c r="C19" s="27" t="s">
        <v>65</v>
      </c>
      <c r="D19" s="27" t="str">
        <f>"880583"</f>
        <v>880583</v>
      </c>
      <c r="E19" s="27" t="s">
        <v>66</v>
      </c>
      <c r="F19" s="27" t="s">
        <v>67</v>
      </c>
    </row>
    <row r="20" ht="16.5" spans="1:6">
      <c r="A20" s="27" t="str">
        <f>"000903"</f>
        <v>000903</v>
      </c>
      <c r="B20" s="27" t="s">
        <v>68</v>
      </c>
      <c r="C20" s="27" t="s">
        <v>69</v>
      </c>
      <c r="D20" s="27" t="str">
        <f>"880939"</f>
        <v>880939</v>
      </c>
      <c r="E20" s="27" t="s">
        <v>70</v>
      </c>
      <c r="F20" s="27" t="s">
        <v>71</v>
      </c>
    </row>
    <row r="21" ht="16.5" spans="1:6">
      <c r="A21" s="27" t="str">
        <f>"880679"</f>
        <v>880679</v>
      </c>
      <c r="B21" s="27" t="s">
        <v>72</v>
      </c>
      <c r="C21" s="27" t="s">
        <v>73</v>
      </c>
      <c r="D21" s="27" t="str">
        <f>"880390"</f>
        <v>880390</v>
      </c>
      <c r="E21" s="27" t="s">
        <v>74</v>
      </c>
      <c r="F21" s="27" t="s">
        <v>75</v>
      </c>
    </row>
    <row r="22" ht="16.5" spans="1:6">
      <c r="A22" s="27" t="str">
        <f>"399002"</f>
        <v>399002</v>
      </c>
      <c r="B22" s="27" t="s">
        <v>76</v>
      </c>
      <c r="C22" s="27" t="s">
        <v>77</v>
      </c>
      <c r="D22" s="27" t="str">
        <f>"880942"</f>
        <v>880942</v>
      </c>
      <c r="E22" s="27" t="s">
        <v>78</v>
      </c>
      <c r="F22" s="27" t="s">
        <v>79</v>
      </c>
    </row>
    <row r="23" ht="16.5" spans="1:6">
      <c r="A23" s="27" t="str">
        <f>"880847"</f>
        <v>880847</v>
      </c>
      <c r="B23" s="27" t="s">
        <v>80</v>
      </c>
      <c r="C23" s="27" t="s">
        <v>81</v>
      </c>
      <c r="D23" s="27" t="str">
        <f>"880731"</f>
        <v>880731</v>
      </c>
      <c r="E23" s="27" t="s">
        <v>82</v>
      </c>
      <c r="F23" s="27" t="s">
        <v>83</v>
      </c>
    </row>
    <row r="24" ht="16.5" spans="1:6">
      <c r="A24" s="27" t="str">
        <f>"880671"</f>
        <v>880671</v>
      </c>
      <c r="B24" s="27" t="s">
        <v>84</v>
      </c>
      <c r="C24" s="27" t="s">
        <v>85</v>
      </c>
      <c r="D24" s="27" t="str">
        <f>"880906"</f>
        <v>880906</v>
      </c>
      <c r="E24" s="27" t="s">
        <v>86</v>
      </c>
      <c r="F24" s="27" t="s">
        <v>87</v>
      </c>
    </row>
    <row r="25" ht="16.5" spans="1:6">
      <c r="A25" s="27" t="str">
        <f>"880515"</f>
        <v>880515</v>
      </c>
      <c r="B25" s="27" t="s">
        <v>88</v>
      </c>
      <c r="C25" s="27" t="s">
        <v>89</v>
      </c>
      <c r="D25" s="27" t="str">
        <f>"880220"</f>
        <v>880220</v>
      </c>
      <c r="E25" s="27" t="s">
        <v>90</v>
      </c>
      <c r="F25" s="27" t="s">
        <v>91</v>
      </c>
    </row>
    <row r="26" ht="16.5" spans="1:6">
      <c r="A26" s="27" t="str">
        <f>"880857"</f>
        <v>880857</v>
      </c>
      <c r="B26" s="27" t="s">
        <v>92</v>
      </c>
      <c r="C26" s="27" t="s">
        <v>93</v>
      </c>
      <c r="D26" s="27" t="str">
        <f>"880589"</f>
        <v>880589</v>
      </c>
      <c r="E26" s="27" t="s">
        <v>94</v>
      </c>
      <c r="F26" s="27" t="s">
        <v>95</v>
      </c>
    </row>
    <row r="27" ht="16.5" spans="1:6">
      <c r="A27" s="27" t="str">
        <f>"000905"</f>
        <v>000905</v>
      </c>
      <c r="B27" s="27" t="s">
        <v>96</v>
      </c>
      <c r="C27" s="27" t="s">
        <v>97</v>
      </c>
      <c r="D27" s="27" t="str">
        <f>"880909"</f>
        <v>880909</v>
      </c>
      <c r="E27" s="27" t="s">
        <v>98</v>
      </c>
      <c r="F27" s="27" t="s">
        <v>99</v>
      </c>
    </row>
    <row r="28" ht="16.5" spans="1:6">
      <c r="A28" s="27" t="str">
        <f>"399102"</f>
        <v>399102</v>
      </c>
      <c r="B28" s="27" t="s">
        <v>100</v>
      </c>
      <c r="C28" s="27" t="s">
        <v>101</v>
      </c>
      <c r="D28" s="27" t="str">
        <f>"880574"</f>
        <v>880574</v>
      </c>
      <c r="E28" s="27" t="s">
        <v>102</v>
      </c>
      <c r="F28" s="27" t="s">
        <v>103</v>
      </c>
    </row>
    <row r="29" ht="16.5" spans="1:6">
      <c r="A29" s="27" t="str">
        <f>"000852"</f>
        <v>000852</v>
      </c>
      <c r="B29" s="27" t="s">
        <v>104</v>
      </c>
      <c r="C29" s="27" t="s">
        <v>105</v>
      </c>
      <c r="D29" s="27" t="str">
        <f>"880558"</f>
        <v>880558</v>
      </c>
      <c r="E29" s="27" t="s">
        <v>106</v>
      </c>
      <c r="F29" s="27" t="s">
        <v>107</v>
      </c>
    </row>
    <row r="30" ht="16.5" spans="1:6">
      <c r="A30" s="27" t="str">
        <f>"399364"</f>
        <v>399364</v>
      </c>
      <c r="B30" s="27" t="s">
        <v>108</v>
      </c>
      <c r="C30" s="27" t="s">
        <v>109</v>
      </c>
      <c r="D30" s="27" t="str">
        <f>"880901"</f>
        <v>880901</v>
      </c>
      <c r="E30" s="27" t="s">
        <v>110</v>
      </c>
      <c r="F30" s="27" t="s">
        <v>111</v>
      </c>
    </row>
    <row r="31" ht="16.5" spans="1:6">
      <c r="A31" s="27" t="str">
        <f>"399101"</f>
        <v>399101</v>
      </c>
      <c r="B31" s="27" t="s">
        <v>112</v>
      </c>
      <c r="C31" s="27" t="s">
        <v>113</v>
      </c>
      <c r="D31" s="27" t="str">
        <f>"880933"</f>
        <v>880933</v>
      </c>
      <c r="E31" s="27" t="s">
        <v>114</v>
      </c>
      <c r="F31" s="27" t="s">
        <v>115</v>
      </c>
    </row>
    <row r="32" ht="16.5" spans="1:6">
      <c r="A32" s="27" t="str">
        <f>"880526"</f>
        <v>880526</v>
      </c>
      <c r="B32" s="27" t="s">
        <v>116</v>
      </c>
      <c r="C32" s="27" t="s">
        <v>117</v>
      </c>
      <c r="D32" s="27" t="str">
        <f>"880945"</f>
        <v>880945</v>
      </c>
      <c r="E32" s="27" t="s">
        <v>118</v>
      </c>
      <c r="F32" s="27" t="s">
        <v>119</v>
      </c>
    </row>
    <row r="33" ht="16.5" spans="1:6">
      <c r="A33" s="27" t="str">
        <f>"880853"</f>
        <v>880853</v>
      </c>
      <c r="B33" s="27" t="s">
        <v>120</v>
      </c>
      <c r="C33" s="27" t="s">
        <v>121</v>
      </c>
      <c r="D33" s="27" t="str">
        <f>"880553"</f>
        <v>880553</v>
      </c>
      <c r="E33" s="27" t="s">
        <v>122</v>
      </c>
      <c r="F33" s="27" t="s">
        <v>123</v>
      </c>
    </row>
    <row r="34" ht="16.5" spans="1:6">
      <c r="A34" s="27" t="str">
        <f>"880678"</f>
        <v>880678</v>
      </c>
      <c r="B34" s="27" t="s">
        <v>124</v>
      </c>
      <c r="C34" s="27" t="s">
        <v>125</v>
      </c>
      <c r="D34" s="27" t="str">
        <f>"880748"</f>
        <v>880748</v>
      </c>
      <c r="E34" s="27" t="s">
        <v>126</v>
      </c>
      <c r="F34" s="27" t="s">
        <v>127</v>
      </c>
    </row>
    <row r="35" ht="16.5" spans="1:6">
      <c r="A35" s="27" t="str">
        <f>"000009"</f>
        <v>000009</v>
      </c>
      <c r="B35" s="27" t="s">
        <v>128</v>
      </c>
      <c r="C35" s="27" t="s">
        <v>129</v>
      </c>
      <c r="D35" s="27" t="str">
        <f>"880940"</f>
        <v>880940</v>
      </c>
      <c r="E35" s="27" t="s">
        <v>130</v>
      </c>
      <c r="F35" s="27" t="s">
        <v>131</v>
      </c>
    </row>
    <row r="36" ht="16.5" spans="1:6">
      <c r="A36" s="27" t="str">
        <f>"880524"</f>
        <v>880524</v>
      </c>
      <c r="B36" s="27" t="s">
        <v>132</v>
      </c>
      <c r="C36" s="27" t="s">
        <v>133</v>
      </c>
      <c r="D36" s="27" t="str">
        <f>"880519"</f>
        <v>880519</v>
      </c>
      <c r="E36" s="27" t="s">
        <v>134</v>
      </c>
      <c r="F36" s="27" t="s">
        <v>135</v>
      </c>
    </row>
    <row r="37" ht="16.5" spans="1:6">
      <c r="A37" s="27" t="str">
        <f>"880212"</f>
        <v>880212</v>
      </c>
      <c r="B37" s="27" t="s">
        <v>136</v>
      </c>
      <c r="C37" s="27" t="s">
        <v>137</v>
      </c>
      <c r="D37" s="27" t="str">
        <f>"880635"</f>
        <v>880635</v>
      </c>
      <c r="E37" s="27" t="s">
        <v>138</v>
      </c>
      <c r="F37" s="27" t="s">
        <v>139</v>
      </c>
    </row>
    <row r="38" ht="16.5" spans="1:6">
      <c r="A38" s="27" t="str">
        <f>"880540"</f>
        <v>880540</v>
      </c>
      <c r="B38" s="27" t="s">
        <v>140</v>
      </c>
      <c r="C38" s="27" t="s">
        <v>141</v>
      </c>
      <c r="D38" s="27" t="str">
        <f>"880950"</f>
        <v>880950</v>
      </c>
      <c r="E38" s="27" t="s">
        <v>142</v>
      </c>
      <c r="F38" s="27" t="s">
        <v>143</v>
      </c>
    </row>
    <row r="39" ht="16.5" spans="1:6">
      <c r="A39" s="27" t="str">
        <f>"880771"</f>
        <v>880771</v>
      </c>
      <c r="B39" s="27" t="s">
        <v>144</v>
      </c>
      <c r="C39" s="27" t="s">
        <v>145</v>
      </c>
      <c r="D39" s="27" t="str">
        <f>"880608"</f>
        <v>880608</v>
      </c>
      <c r="E39" s="27" t="s">
        <v>146</v>
      </c>
      <c r="F39" s="27" t="s">
        <v>147</v>
      </c>
    </row>
    <row r="40" ht="16.5" spans="1:6">
      <c r="A40" s="27" t="str">
        <f>"880532"</f>
        <v>880532</v>
      </c>
      <c r="B40" s="27" t="s">
        <v>148</v>
      </c>
      <c r="C40" s="27" t="s">
        <v>149</v>
      </c>
      <c r="D40" s="27" t="str">
        <f>"880546"</f>
        <v>880546</v>
      </c>
      <c r="E40" s="27" t="s">
        <v>150</v>
      </c>
      <c r="F40" s="27" t="s">
        <v>151</v>
      </c>
    </row>
    <row r="41" ht="16.5" spans="1:6">
      <c r="A41" s="27" t="str">
        <f>"000991"</f>
        <v>000991</v>
      </c>
      <c r="B41" s="28" t="s">
        <v>152</v>
      </c>
      <c r="C41" s="27" t="s">
        <v>153</v>
      </c>
      <c r="D41" s="27" t="str">
        <f>"880965"</f>
        <v>880965</v>
      </c>
      <c r="E41" s="27" t="s">
        <v>154</v>
      </c>
      <c r="F41" s="27" t="s">
        <v>155</v>
      </c>
    </row>
    <row r="42" ht="16.5" spans="1:6">
      <c r="A42" s="27" t="str">
        <f>"880400"</f>
        <v>880400</v>
      </c>
      <c r="B42" s="28" t="s">
        <v>156</v>
      </c>
      <c r="C42" s="27" t="s">
        <v>157</v>
      </c>
      <c r="D42" s="27" t="str">
        <f>"880672"</f>
        <v>880672</v>
      </c>
      <c r="E42" s="27" t="s">
        <v>158</v>
      </c>
      <c r="F42" s="27" t="s">
        <v>159</v>
      </c>
    </row>
    <row r="43" ht="16.5" spans="1:6">
      <c r="A43" s="27" t="str">
        <f>"880492"</f>
        <v>880492</v>
      </c>
      <c r="B43" s="27" t="s">
        <v>160</v>
      </c>
      <c r="C43" s="27" t="s">
        <v>161</v>
      </c>
      <c r="D43" s="27" t="str">
        <f>"880661"</f>
        <v>880661</v>
      </c>
      <c r="E43" s="27" t="s">
        <v>162</v>
      </c>
      <c r="F43" s="27" t="s">
        <v>163</v>
      </c>
    </row>
    <row r="44" ht="16.5" spans="1:6">
      <c r="A44" s="27" t="str">
        <f>"880564"</f>
        <v>880564</v>
      </c>
      <c r="B44" s="27" t="s">
        <v>164</v>
      </c>
      <c r="C44" s="27" t="s">
        <v>165</v>
      </c>
      <c r="D44" s="27" t="str">
        <f>"880656"</f>
        <v>880656</v>
      </c>
      <c r="E44" s="27" t="s">
        <v>166</v>
      </c>
      <c r="F44" s="27" t="s">
        <v>167</v>
      </c>
    </row>
    <row r="45" ht="16.5" spans="1:6">
      <c r="A45" s="27" t="str">
        <f>"880380"</f>
        <v>880380</v>
      </c>
      <c r="B45" s="27" t="s">
        <v>168</v>
      </c>
      <c r="C45" s="27" t="s">
        <v>169</v>
      </c>
      <c r="D45" s="27" t="str">
        <f>"880530"</f>
        <v>880530</v>
      </c>
      <c r="E45" s="27" t="s">
        <v>170</v>
      </c>
      <c r="F45" s="27" t="s">
        <v>171</v>
      </c>
    </row>
    <row r="46" ht="16.5" spans="1:6">
      <c r="A46" s="27" t="str">
        <f>"880970"</f>
        <v>880970</v>
      </c>
      <c r="B46" s="27" t="s">
        <v>172</v>
      </c>
      <c r="C46" s="27" t="s">
        <v>173</v>
      </c>
      <c r="D46" s="27" t="str">
        <f>"880591"</f>
        <v>880591</v>
      </c>
      <c r="E46" s="27" t="s">
        <v>174</v>
      </c>
      <c r="F46" s="27" t="s">
        <v>175</v>
      </c>
    </row>
    <row r="47" ht="16.5" spans="1:6">
      <c r="A47" s="27" t="str">
        <f>"880335"</f>
        <v>880335</v>
      </c>
      <c r="B47" s="27" t="s">
        <v>176</v>
      </c>
      <c r="C47" s="27" t="s">
        <v>177</v>
      </c>
      <c r="D47" s="27" t="str">
        <f>"880521"</f>
        <v>880521</v>
      </c>
      <c r="E47" s="27" t="s">
        <v>178</v>
      </c>
      <c r="F47" s="27" t="s">
        <v>179</v>
      </c>
    </row>
    <row r="48" ht="16.5" spans="1:6">
      <c r="A48" s="27" t="str">
        <f>"880769"</f>
        <v>880769</v>
      </c>
      <c r="B48" s="27" t="s">
        <v>180</v>
      </c>
      <c r="C48" s="27" t="s">
        <v>181</v>
      </c>
      <c r="D48" s="27" t="str">
        <f>"000698"</f>
        <v>000698</v>
      </c>
      <c r="E48" s="27" t="s">
        <v>182</v>
      </c>
      <c r="F48" s="27" t="s">
        <v>183</v>
      </c>
    </row>
    <row r="49" ht="16.5" spans="1:6">
      <c r="A49" s="27" t="str">
        <f>"880852"</f>
        <v>880852</v>
      </c>
      <c r="B49" s="27" t="s">
        <v>184</v>
      </c>
      <c r="C49" s="27" t="s">
        <v>185</v>
      </c>
      <c r="D49" s="27" t="str">
        <f>"880659"</f>
        <v>880659</v>
      </c>
      <c r="E49" s="27" t="s">
        <v>186</v>
      </c>
      <c r="F49" s="27" t="s">
        <v>187</v>
      </c>
    </row>
    <row r="50" ht="16.5" spans="1:6">
      <c r="A50" s="27" t="str">
        <f>"880305"</f>
        <v>880305</v>
      </c>
      <c r="B50" s="27" t="s">
        <v>188</v>
      </c>
      <c r="C50" s="27" t="s">
        <v>189</v>
      </c>
      <c r="D50" s="27" t="str">
        <f>"880372"</f>
        <v>880372</v>
      </c>
      <c r="E50" s="27" t="s">
        <v>190</v>
      </c>
      <c r="F50" s="27" t="s">
        <v>191</v>
      </c>
    </row>
    <row r="51" ht="16.5" spans="1:6">
      <c r="A51" s="27" t="str">
        <f>"880894"</f>
        <v>880894</v>
      </c>
      <c r="B51" s="27" t="s">
        <v>192</v>
      </c>
      <c r="C51" s="27" t="s">
        <v>193</v>
      </c>
      <c r="D51" s="27" t="str">
        <f>"880577"</f>
        <v>880577</v>
      </c>
      <c r="E51" s="27" t="s">
        <v>194</v>
      </c>
      <c r="F51" s="27" t="s">
        <v>195</v>
      </c>
    </row>
    <row r="52" ht="16.5" spans="1:6">
      <c r="A52" s="27" t="str">
        <f>"880911"</f>
        <v>880911</v>
      </c>
      <c r="B52" s="27" t="s">
        <v>196</v>
      </c>
      <c r="C52" s="27" t="s">
        <v>197</v>
      </c>
      <c r="D52" s="27" t="str">
        <f>"880542"</f>
        <v>880542</v>
      </c>
      <c r="E52" s="27" t="s">
        <v>198</v>
      </c>
      <c r="F52" s="27" t="s">
        <v>199</v>
      </c>
    </row>
    <row r="53" ht="16.5" spans="1:6">
      <c r="A53" s="27" t="str">
        <f>"880223"</f>
        <v>880223</v>
      </c>
      <c r="B53" s="27" t="s">
        <v>200</v>
      </c>
      <c r="C53" s="27" t="s">
        <v>201</v>
      </c>
      <c r="D53" s="27" t="str">
        <f>"880943"</f>
        <v>880943</v>
      </c>
      <c r="E53" s="27" t="s">
        <v>202</v>
      </c>
      <c r="F53" s="27" t="s">
        <v>203</v>
      </c>
    </row>
    <row r="54" ht="16.5" spans="1:6">
      <c r="A54" s="27" t="str">
        <f>"880324"</f>
        <v>880324</v>
      </c>
      <c r="B54" s="27" t="s">
        <v>204</v>
      </c>
      <c r="C54" s="27" t="s">
        <v>205</v>
      </c>
      <c r="D54" s="27" t="str">
        <f>"880833"</f>
        <v>880833</v>
      </c>
      <c r="E54" s="27" t="s">
        <v>206</v>
      </c>
      <c r="F54" s="27" t="s">
        <v>207</v>
      </c>
    </row>
    <row r="55" ht="16.5" spans="1:6">
      <c r="A55" s="27" t="str">
        <f>"880538"</f>
        <v>880538</v>
      </c>
      <c r="B55" s="27" t="s">
        <v>208</v>
      </c>
      <c r="C55" s="27" t="s">
        <v>209</v>
      </c>
      <c r="D55" s="27" t="str">
        <f>"880670"</f>
        <v>880670</v>
      </c>
      <c r="E55" s="27" t="s">
        <v>210</v>
      </c>
      <c r="F55" s="27" t="s">
        <v>211</v>
      </c>
    </row>
    <row r="56" ht="16.5" spans="1:6">
      <c r="A56" s="27" t="str">
        <f>"880783"</f>
        <v>880783</v>
      </c>
      <c r="B56" s="27" t="s">
        <v>212</v>
      </c>
      <c r="C56" s="27" t="s">
        <v>213</v>
      </c>
      <c r="D56" s="27" t="str">
        <f>"880834"</f>
        <v>880834</v>
      </c>
      <c r="E56" s="27" t="s">
        <v>214</v>
      </c>
      <c r="F56" s="27" t="s">
        <v>215</v>
      </c>
    </row>
    <row r="57" ht="16.5" spans="1:6">
      <c r="A57" s="27" t="str">
        <f>"880755"</f>
        <v>880755</v>
      </c>
      <c r="B57" s="27" t="s">
        <v>216</v>
      </c>
      <c r="C57" s="27" t="s">
        <v>217</v>
      </c>
      <c r="D57" s="27" t="str">
        <f>"880759"</f>
        <v>880759</v>
      </c>
      <c r="E57" s="27" t="s">
        <v>218</v>
      </c>
      <c r="F57" s="27" t="s">
        <v>219</v>
      </c>
    </row>
    <row r="58" ht="16.5" spans="1:6">
      <c r="A58" s="27" t="str">
        <f>"880622"</f>
        <v>880622</v>
      </c>
      <c r="B58" s="27" t="s">
        <v>220</v>
      </c>
      <c r="C58" s="27" t="s">
        <v>221</v>
      </c>
      <c r="D58" s="27" t="str">
        <f>"880597"</f>
        <v>880597</v>
      </c>
      <c r="E58" s="27" t="s">
        <v>222</v>
      </c>
      <c r="F58" s="27" t="s">
        <v>223</v>
      </c>
    </row>
    <row r="59" ht="16.5" spans="1:6">
      <c r="A59" s="27" t="str">
        <f>"880440"</f>
        <v>880440</v>
      </c>
      <c r="B59" s="27" t="s">
        <v>224</v>
      </c>
      <c r="C59" s="27" t="s">
        <v>225</v>
      </c>
      <c r="D59" s="27" t="str">
        <f>"880964"</f>
        <v>880964</v>
      </c>
      <c r="E59" s="27" t="s">
        <v>226</v>
      </c>
      <c r="F59" s="27" t="s">
        <v>227</v>
      </c>
    </row>
    <row r="60" ht="16.5" spans="1:6">
      <c r="A60" s="27" t="str">
        <f>"880824"</f>
        <v>880824</v>
      </c>
      <c r="B60" s="27" t="s">
        <v>228</v>
      </c>
      <c r="C60" s="27" t="s">
        <v>229</v>
      </c>
      <c r="D60" s="27" t="str">
        <f>"880590"</f>
        <v>880590</v>
      </c>
      <c r="E60" s="27" t="s">
        <v>230</v>
      </c>
      <c r="F60" s="27" t="s">
        <v>231</v>
      </c>
    </row>
    <row r="61" ht="16.5" spans="1:6">
      <c r="A61" s="27" t="str">
        <f>"880576"</f>
        <v>880576</v>
      </c>
      <c r="B61" s="27" t="s">
        <v>232</v>
      </c>
      <c r="C61" s="27" t="s">
        <v>233</v>
      </c>
      <c r="D61" s="27" t="str">
        <f>"880891"</f>
        <v>880891</v>
      </c>
      <c r="E61" s="27" t="s">
        <v>234</v>
      </c>
      <c r="F61" s="27" t="s">
        <v>235</v>
      </c>
    </row>
    <row r="62" ht="16.5" spans="1:6">
      <c r="A62" s="27" t="str">
        <f>"880525"</f>
        <v>880525</v>
      </c>
      <c r="B62" s="27" t="s">
        <v>236</v>
      </c>
      <c r="C62" s="27" t="s">
        <v>237</v>
      </c>
      <c r="D62" s="27" t="str">
        <f>"880630"</f>
        <v>880630</v>
      </c>
      <c r="E62" s="27" t="s">
        <v>238</v>
      </c>
      <c r="F62" s="27" t="s">
        <v>239</v>
      </c>
    </row>
    <row r="63" ht="16.5" spans="1:6">
      <c r="A63" s="27" t="str">
        <f>"880566"</f>
        <v>880566</v>
      </c>
      <c r="B63" s="27" t="s">
        <v>240</v>
      </c>
      <c r="C63" s="27" t="s">
        <v>241</v>
      </c>
      <c r="D63" s="27" t="str">
        <f>"880743"</f>
        <v>880743</v>
      </c>
      <c r="E63" s="27" t="s">
        <v>242</v>
      </c>
      <c r="F63" s="27" t="s">
        <v>243</v>
      </c>
    </row>
    <row r="64" ht="16.5" spans="1:6">
      <c r="A64" s="27" t="str">
        <f>"880224"</f>
        <v>880224</v>
      </c>
      <c r="B64" s="27" t="s">
        <v>244</v>
      </c>
      <c r="C64" s="27" t="s">
        <v>245</v>
      </c>
      <c r="D64" s="27" t="str">
        <f>"880697"</f>
        <v>880697</v>
      </c>
      <c r="E64" s="27" t="s">
        <v>246</v>
      </c>
      <c r="F64" s="27" t="s">
        <v>247</v>
      </c>
    </row>
    <row r="65" ht="16.5" spans="1:6">
      <c r="A65" s="27" t="str">
        <f>"880551"</f>
        <v>880551</v>
      </c>
      <c r="B65" s="27" t="s">
        <v>248</v>
      </c>
      <c r="C65" s="27" t="s">
        <v>249</v>
      </c>
      <c r="D65" s="27" t="str">
        <f>"880728"</f>
        <v>880728</v>
      </c>
      <c r="E65" s="27" t="s">
        <v>250</v>
      </c>
      <c r="F65" s="27" t="s">
        <v>251</v>
      </c>
    </row>
    <row r="66" ht="16.5" spans="1:6">
      <c r="A66" s="27" t="str">
        <f>"880387"</f>
        <v>880387</v>
      </c>
      <c r="B66" s="27" t="s">
        <v>252</v>
      </c>
      <c r="C66" s="27" t="s">
        <v>253</v>
      </c>
      <c r="D66" s="27" t="str">
        <f>"880584"</f>
        <v>880584</v>
      </c>
      <c r="E66" s="27" t="s">
        <v>254</v>
      </c>
      <c r="F66" s="27" t="s">
        <v>255</v>
      </c>
    </row>
    <row r="67" ht="16.5" spans="1:6">
      <c r="A67" s="27" t="str">
        <f>"880860"</f>
        <v>880860</v>
      </c>
      <c r="B67" s="27" t="s">
        <v>256</v>
      </c>
      <c r="C67" s="27" t="s">
        <v>257</v>
      </c>
      <c r="D67" s="27" t="str">
        <f>"880897"</f>
        <v>880897</v>
      </c>
      <c r="E67" s="27" t="s">
        <v>258</v>
      </c>
      <c r="F67" s="27" t="s">
        <v>259</v>
      </c>
    </row>
    <row r="68" ht="16.5" spans="1:6">
      <c r="A68" s="27" t="str">
        <f>"880634"</f>
        <v>880634</v>
      </c>
      <c r="B68" s="27" t="s">
        <v>260</v>
      </c>
      <c r="C68" s="27" t="s">
        <v>261</v>
      </c>
      <c r="D68" s="27" t="str">
        <f>"880694"</f>
        <v>880694</v>
      </c>
      <c r="E68" s="27" t="s">
        <v>262</v>
      </c>
      <c r="F68" s="27" t="s">
        <v>263</v>
      </c>
    </row>
    <row r="69" ht="16.5" spans="1:6">
      <c r="A69" s="27" t="str">
        <f>"880221"</f>
        <v>880221</v>
      </c>
      <c r="B69" s="27" t="s">
        <v>264</v>
      </c>
      <c r="C69" s="27" t="s">
        <v>265</v>
      </c>
      <c r="D69" s="27" t="str">
        <f>"880947"</f>
        <v>880947</v>
      </c>
      <c r="E69" s="27" t="s">
        <v>266</v>
      </c>
      <c r="F69" s="27" t="s">
        <v>267</v>
      </c>
    </row>
    <row r="70" ht="16.5" spans="1:6">
      <c r="A70" s="27" t="str">
        <f>"880619"</f>
        <v>880619</v>
      </c>
      <c r="B70" s="27" t="s">
        <v>268</v>
      </c>
      <c r="C70" s="27" t="s">
        <v>269</v>
      </c>
      <c r="D70" s="27" t="str">
        <f>"880610"</f>
        <v>880610</v>
      </c>
      <c r="E70" s="27" t="s">
        <v>270</v>
      </c>
      <c r="F70" s="27" t="s">
        <v>271</v>
      </c>
    </row>
    <row r="71" ht="16.5" spans="1:6">
      <c r="A71" s="27" t="str">
        <f>"880761"</f>
        <v>880761</v>
      </c>
      <c r="B71" s="27" t="s">
        <v>272</v>
      </c>
      <c r="C71" s="27" t="s">
        <v>273</v>
      </c>
      <c r="D71" s="27" t="str">
        <f>"880624"</f>
        <v>880624</v>
      </c>
      <c r="E71" s="27" t="s">
        <v>274</v>
      </c>
      <c r="F71" s="27" t="s">
        <v>275</v>
      </c>
    </row>
    <row r="72" ht="16.5" spans="1:6">
      <c r="A72" s="27" t="str">
        <f>"880960"</f>
        <v>880960</v>
      </c>
      <c r="B72" s="27" t="s">
        <v>276</v>
      </c>
      <c r="C72" s="27" t="s">
        <v>277</v>
      </c>
      <c r="D72" s="27" t="str">
        <f>"880360"</f>
        <v>880360</v>
      </c>
      <c r="E72" s="27" t="s">
        <v>278</v>
      </c>
      <c r="F72" s="27" t="s">
        <v>279</v>
      </c>
    </row>
    <row r="73" ht="16.5" spans="1:6">
      <c r="A73" s="27" t="str">
        <f>"880213"</f>
        <v>880213</v>
      </c>
      <c r="B73" s="27" t="s">
        <v>280</v>
      </c>
      <c r="C73" s="27" t="s">
        <v>281</v>
      </c>
      <c r="D73" s="27" t="str">
        <f>"880605"</f>
        <v>880605</v>
      </c>
      <c r="E73" s="27" t="s">
        <v>282</v>
      </c>
      <c r="F73" s="27" t="s">
        <v>283</v>
      </c>
    </row>
    <row r="74" ht="16.5" spans="1:6">
      <c r="A74" s="27" t="str">
        <f>"880727"</f>
        <v>880727</v>
      </c>
      <c r="B74" s="27" t="s">
        <v>284</v>
      </c>
      <c r="C74" s="27" t="s">
        <v>285</v>
      </c>
      <c r="D74" s="27" t="str">
        <f>"880541"</f>
        <v>880541</v>
      </c>
      <c r="E74" s="27" t="s">
        <v>286</v>
      </c>
      <c r="F74" s="27" t="s">
        <v>287</v>
      </c>
    </row>
    <row r="75" ht="16.5" spans="1:6">
      <c r="A75" s="27" t="str">
        <f>"880725"</f>
        <v>880725</v>
      </c>
      <c r="B75" s="27" t="s">
        <v>288</v>
      </c>
      <c r="C75" s="27" t="s">
        <v>289</v>
      </c>
      <c r="D75" s="27" t="str">
        <f>"880682"</f>
        <v>880682</v>
      </c>
      <c r="E75" s="27" t="s">
        <v>290</v>
      </c>
      <c r="F75" s="27" t="s">
        <v>291</v>
      </c>
    </row>
    <row r="76" ht="16.5" spans="1:6">
      <c r="A76" s="27" t="str">
        <f>"880623"</f>
        <v>880623</v>
      </c>
      <c r="B76" s="27" t="s">
        <v>292</v>
      </c>
      <c r="C76" s="27" t="s">
        <v>293</v>
      </c>
      <c r="D76" s="27" t="str">
        <f>"880971"</f>
        <v>880971</v>
      </c>
      <c r="E76" s="27" t="s">
        <v>294</v>
      </c>
      <c r="F76" s="27" t="s">
        <v>295</v>
      </c>
    </row>
    <row r="77" ht="16.5" spans="1:6">
      <c r="A77" s="27" t="str">
        <f>"880899"</f>
        <v>880899</v>
      </c>
      <c r="B77" s="27" t="s">
        <v>296</v>
      </c>
      <c r="C77" s="27" t="s">
        <v>297</v>
      </c>
      <c r="D77" s="27" t="str">
        <f>"880448"</f>
        <v>880448</v>
      </c>
      <c r="E77" s="27" t="s">
        <v>298</v>
      </c>
      <c r="F77" s="27" t="s">
        <v>299</v>
      </c>
    </row>
    <row r="78" ht="16.5" spans="1:6">
      <c r="A78" s="27" t="str">
        <f>"880211"</f>
        <v>880211</v>
      </c>
      <c r="B78" s="27" t="s">
        <v>300</v>
      </c>
      <c r="C78" s="27" t="s">
        <v>301</v>
      </c>
      <c r="D78" s="27" t="str">
        <f>"880406"</f>
        <v>880406</v>
      </c>
      <c r="E78" s="27" t="s">
        <v>302</v>
      </c>
      <c r="F78" s="27" t="s">
        <v>303</v>
      </c>
    </row>
    <row r="79" ht="16.5" spans="1:6">
      <c r="A79" s="27" t="str">
        <f>"880489"</f>
        <v>880489</v>
      </c>
      <c r="B79" s="27" t="s">
        <v>304</v>
      </c>
      <c r="C79" s="27" t="s">
        <v>305</v>
      </c>
      <c r="D79" s="27" t="str">
        <f>"880565"</f>
        <v>880565</v>
      </c>
      <c r="E79" s="27" t="s">
        <v>306</v>
      </c>
      <c r="F79" s="27" t="s">
        <v>307</v>
      </c>
    </row>
    <row r="80" ht="16.5" spans="1:6">
      <c r="A80" s="27" t="str">
        <f>"880768"</f>
        <v>880768</v>
      </c>
      <c r="B80" s="27" t="s">
        <v>308</v>
      </c>
      <c r="C80" s="27" t="s">
        <v>309</v>
      </c>
      <c r="D80" s="27" t="str">
        <f>"880596"</f>
        <v>880596</v>
      </c>
      <c r="E80" s="27" t="s">
        <v>310</v>
      </c>
      <c r="F80" s="27" t="s">
        <v>311</v>
      </c>
    </row>
    <row r="81" ht="16.5" spans="1:6">
      <c r="A81" s="27" t="str">
        <f>"880977"</f>
        <v>880977</v>
      </c>
      <c r="B81" s="27" t="s">
        <v>312</v>
      </c>
      <c r="C81" s="27" t="s">
        <v>313</v>
      </c>
      <c r="D81" s="27" t="str">
        <f>"880615"</f>
        <v>880615</v>
      </c>
      <c r="E81" s="27" t="s">
        <v>314</v>
      </c>
      <c r="F81" s="27" t="s">
        <v>315</v>
      </c>
    </row>
    <row r="82" ht="16.5" spans="1:6">
      <c r="A82" s="27" t="str">
        <f>"880681"</f>
        <v>880681</v>
      </c>
      <c r="B82" s="27" t="s">
        <v>316</v>
      </c>
      <c r="C82" s="27" t="s">
        <v>317</v>
      </c>
      <c r="D82" s="27" t="str">
        <f>"880673"</f>
        <v>880673</v>
      </c>
      <c r="E82" s="27" t="s">
        <v>318</v>
      </c>
      <c r="F82" s="27" t="s">
        <v>319</v>
      </c>
    </row>
    <row r="83" ht="16.5" spans="1:6">
      <c r="A83" s="27" t="str">
        <f>"880612"</f>
        <v>880612</v>
      </c>
      <c r="B83" s="27" t="s">
        <v>320</v>
      </c>
      <c r="C83" s="27" t="s">
        <v>321</v>
      </c>
      <c r="D83" s="27" t="str">
        <f>"880658"</f>
        <v>880658</v>
      </c>
      <c r="E83" s="27" t="s">
        <v>322</v>
      </c>
      <c r="F83" s="27" t="s">
        <v>323</v>
      </c>
    </row>
    <row r="84" ht="16.5" spans="1:6">
      <c r="A84" s="27" t="str">
        <f>"880804"</f>
        <v>880804</v>
      </c>
      <c r="B84" s="27" t="s">
        <v>324</v>
      </c>
      <c r="C84" s="27" t="s">
        <v>325</v>
      </c>
      <c r="D84" s="27" t="str">
        <f>"880494"</f>
        <v>880494</v>
      </c>
      <c r="E84" s="27" t="s">
        <v>326</v>
      </c>
      <c r="F84" s="27" t="s">
        <v>327</v>
      </c>
    </row>
    <row r="85" ht="16.5" spans="1:6">
      <c r="A85" s="27" t="str">
        <f>"880715"</f>
        <v>880715</v>
      </c>
      <c r="B85" s="27" t="s">
        <v>328</v>
      </c>
      <c r="C85" s="27" t="s">
        <v>329</v>
      </c>
      <c r="D85" s="27" t="str">
        <f>"880614"</f>
        <v>880614</v>
      </c>
      <c r="E85" s="27" t="s">
        <v>330</v>
      </c>
      <c r="F85" s="27" t="s">
        <v>331</v>
      </c>
    </row>
    <row r="86" ht="16.5" spans="1:6">
      <c r="A86" s="27" t="str">
        <f>"880528"</f>
        <v>880528</v>
      </c>
      <c r="B86" s="27" t="s">
        <v>332</v>
      </c>
      <c r="C86" s="27" t="s">
        <v>333</v>
      </c>
      <c r="D86" s="27" t="str">
        <f>"880790"</f>
        <v>880790</v>
      </c>
      <c r="E86" s="27" t="s">
        <v>334</v>
      </c>
      <c r="F86" s="27" t="s">
        <v>335</v>
      </c>
    </row>
    <row r="87" ht="16.5" spans="1:6">
      <c r="A87" s="27" t="str">
        <f>"880205"</f>
        <v>880205</v>
      </c>
      <c r="B87" s="27" t="s">
        <v>336</v>
      </c>
      <c r="C87" s="27" t="s">
        <v>337</v>
      </c>
      <c r="D87" s="27" t="str">
        <f>"880920"</f>
        <v>880920</v>
      </c>
      <c r="E87" s="27" t="s">
        <v>338</v>
      </c>
      <c r="F87" s="27" t="s">
        <v>339</v>
      </c>
    </row>
    <row r="88" ht="16.5" spans="1:6">
      <c r="A88" s="27" t="str">
        <f>"880222"</f>
        <v>880222</v>
      </c>
      <c r="B88" s="27" t="s">
        <v>340</v>
      </c>
      <c r="C88" s="27" t="s">
        <v>341</v>
      </c>
      <c r="D88" s="27" t="str">
        <f>"880618"</f>
        <v>880618</v>
      </c>
      <c r="E88" s="27" t="s">
        <v>342</v>
      </c>
      <c r="F88" s="27" t="s">
        <v>343</v>
      </c>
    </row>
    <row r="89" ht="16.5" spans="1:6">
      <c r="A89" s="27" t="str">
        <f>"880898"</f>
        <v>880898</v>
      </c>
      <c r="B89" s="27" t="s">
        <v>344</v>
      </c>
      <c r="C89" s="27" t="s">
        <v>345</v>
      </c>
      <c r="D89" s="27" t="str">
        <f>"880447"</f>
        <v>880447</v>
      </c>
      <c r="E89" s="27" t="s">
        <v>346</v>
      </c>
      <c r="F89" s="27" t="s">
        <v>347</v>
      </c>
    </row>
    <row r="90" ht="16.5" spans="1:6">
      <c r="A90" s="27" t="str">
        <f>"880344"</f>
        <v>880344</v>
      </c>
      <c r="B90" s="27" t="s">
        <v>348</v>
      </c>
      <c r="C90" s="27" t="s">
        <v>349</v>
      </c>
      <c r="D90" s="27" t="str">
        <f>"880232"</f>
        <v>880232</v>
      </c>
      <c r="E90" s="27" t="s">
        <v>350</v>
      </c>
      <c r="F90" s="27" t="s">
        <v>351</v>
      </c>
    </row>
    <row r="91" ht="16.5" spans="1:6">
      <c r="A91" s="27" t="str">
        <f>"880464"</f>
        <v>880464</v>
      </c>
      <c r="B91" s="27" t="s">
        <v>352</v>
      </c>
      <c r="C91" s="27" t="s">
        <v>353</v>
      </c>
      <c r="D91" s="27" t="str">
        <f>"880523"</f>
        <v>880523</v>
      </c>
      <c r="E91" s="27" t="s">
        <v>354</v>
      </c>
      <c r="F91" s="27" t="s">
        <v>355</v>
      </c>
    </row>
    <row r="92" ht="16.5" spans="1:6">
      <c r="A92" s="27" t="str">
        <f>"880729"</f>
        <v>880729</v>
      </c>
      <c r="B92" s="27" t="s">
        <v>356</v>
      </c>
      <c r="C92" s="27" t="s">
        <v>357</v>
      </c>
      <c r="D92" s="27" t="str">
        <f>"880926"</f>
        <v>880926</v>
      </c>
      <c r="E92" s="27" t="s">
        <v>358</v>
      </c>
      <c r="F92" s="27" t="s">
        <v>359</v>
      </c>
    </row>
    <row r="93" ht="16.5" spans="1:6">
      <c r="A93" s="27" t="str">
        <f>"880367"</f>
        <v>880367</v>
      </c>
      <c r="B93" s="27" t="s">
        <v>360</v>
      </c>
      <c r="C93" s="27" t="s">
        <v>361</v>
      </c>
      <c r="D93" s="27" t="str">
        <f>"880848"</f>
        <v>880848</v>
      </c>
      <c r="E93" s="27" t="s">
        <v>362</v>
      </c>
      <c r="F93" s="27" t="s">
        <v>363</v>
      </c>
    </row>
    <row r="94" ht="16.5" spans="1:6">
      <c r="A94" s="27" t="str">
        <f>"880766"</f>
        <v>880766</v>
      </c>
      <c r="B94" s="27" t="s">
        <v>364</v>
      </c>
      <c r="C94" s="27" t="s">
        <v>365</v>
      </c>
      <c r="D94" s="27" t="str">
        <f>"880621"</f>
        <v>880621</v>
      </c>
      <c r="E94" s="27" t="s">
        <v>366</v>
      </c>
      <c r="F94" s="27" t="s">
        <v>367</v>
      </c>
    </row>
    <row r="95" ht="16.5" spans="1:6">
      <c r="A95" s="27" t="str">
        <f>"880714"</f>
        <v>880714</v>
      </c>
      <c r="B95" s="27" t="s">
        <v>368</v>
      </c>
      <c r="C95" s="27" t="s">
        <v>369</v>
      </c>
      <c r="D95" s="27" t="str">
        <f>"880567"</f>
        <v>880567</v>
      </c>
      <c r="E95" s="27" t="s">
        <v>370</v>
      </c>
      <c r="F95" s="27" t="s">
        <v>371</v>
      </c>
    </row>
    <row r="96" ht="16.5" spans="1:6">
      <c r="A96" s="27" t="str">
        <f>"880606"</f>
        <v>880606</v>
      </c>
      <c r="B96" s="27" t="s">
        <v>372</v>
      </c>
      <c r="C96" s="27" t="s">
        <v>373</v>
      </c>
      <c r="D96" s="27" t="str">
        <f>"880740"</f>
        <v>880740</v>
      </c>
      <c r="E96" s="27" t="s">
        <v>374</v>
      </c>
      <c r="F96" s="27" t="s">
        <v>375</v>
      </c>
    </row>
    <row r="97" ht="16.5" spans="1:6">
      <c r="A97" s="27" t="str">
        <f>"880421"</f>
        <v>880421</v>
      </c>
      <c r="B97" s="27" t="s">
        <v>376</v>
      </c>
      <c r="C97" s="27" t="s">
        <v>377</v>
      </c>
      <c r="D97" s="27" t="str">
        <f>"880562"</f>
        <v>880562</v>
      </c>
      <c r="E97" s="27" t="s">
        <v>378</v>
      </c>
      <c r="F97" s="27" t="s">
        <v>379</v>
      </c>
    </row>
    <row r="98" ht="16.5" spans="1:6">
      <c r="A98" s="27" t="str">
        <f>"880959"</f>
        <v>880959</v>
      </c>
      <c r="B98" s="27" t="s">
        <v>380</v>
      </c>
      <c r="C98" s="27" t="s">
        <v>381</v>
      </c>
      <c r="D98" s="27" t="str">
        <f>"880650"</f>
        <v>880650</v>
      </c>
      <c r="E98" s="27" t="s">
        <v>382</v>
      </c>
      <c r="F98" s="27" t="s">
        <v>383</v>
      </c>
    </row>
    <row r="99" ht="16.5" spans="1:6">
      <c r="A99" s="27" t="str">
        <f>"880203"</f>
        <v>880203</v>
      </c>
      <c r="B99" s="27" t="s">
        <v>384</v>
      </c>
      <c r="C99" s="27" t="s">
        <v>385</v>
      </c>
      <c r="D99" s="27" t="str">
        <f>"880571"</f>
        <v>880571</v>
      </c>
      <c r="E99" s="27" t="s">
        <v>386</v>
      </c>
      <c r="F99" s="27" t="s">
        <v>387</v>
      </c>
    </row>
    <row r="100" ht="16.5" spans="1:6">
      <c r="A100" s="27" t="str">
        <f>"880613"</f>
        <v>880613</v>
      </c>
      <c r="B100" s="27" t="s">
        <v>388</v>
      </c>
      <c r="C100" s="27" t="s">
        <v>389</v>
      </c>
      <c r="D100" s="27" t="str">
        <f>"880587"</f>
        <v>880587</v>
      </c>
      <c r="E100" s="27" t="s">
        <v>390</v>
      </c>
      <c r="F100" s="27" t="s">
        <v>391</v>
      </c>
    </row>
    <row r="101" ht="16.5" spans="1:6">
      <c r="A101" s="27" t="str">
        <f>"880455"</f>
        <v>880455</v>
      </c>
      <c r="B101" s="27" t="s">
        <v>392</v>
      </c>
      <c r="C101" s="27" t="s">
        <v>393</v>
      </c>
      <c r="D101" s="27" t="str">
        <f>"880628"</f>
        <v>880628</v>
      </c>
      <c r="E101" s="27" t="s">
        <v>394</v>
      </c>
      <c r="F101" s="27" t="s">
        <v>395</v>
      </c>
    </row>
    <row r="102" ht="16.5" spans="1:6">
      <c r="A102" s="27" t="str">
        <f>"880892"</f>
        <v>880892</v>
      </c>
      <c r="B102" s="27" t="s">
        <v>396</v>
      </c>
      <c r="C102" s="27" t="s">
        <v>397</v>
      </c>
      <c r="D102" s="27" t="str">
        <f>"880808"</f>
        <v>880808</v>
      </c>
      <c r="E102" s="27" t="s">
        <v>398</v>
      </c>
      <c r="F102" s="27" t="s">
        <v>399</v>
      </c>
    </row>
    <row r="103" ht="16.5" spans="1:6">
      <c r="A103" s="27" t="str">
        <f>"880842"</f>
        <v>880842</v>
      </c>
      <c r="B103" s="27" t="s">
        <v>400</v>
      </c>
      <c r="C103" s="27" t="s">
        <v>401</v>
      </c>
      <c r="D103" s="27" t="str">
        <f>"880474"</f>
        <v>880474</v>
      </c>
      <c r="E103" s="27" t="s">
        <v>402</v>
      </c>
      <c r="F103" s="27" t="s">
        <v>403</v>
      </c>
    </row>
    <row r="104" ht="16.5" spans="1:6">
      <c r="A104" s="27" t="str">
        <f>"880204"</f>
        <v>880204</v>
      </c>
      <c r="B104" s="27" t="s">
        <v>404</v>
      </c>
      <c r="C104" s="27" t="s">
        <v>405</v>
      </c>
      <c r="D104" s="27" t="str">
        <f>"880704"</f>
        <v>880704</v>
      </c>
      <c r="E104" s="27" t="s">
        <v>406</v>
      </c>
      <c r="F104" s="27" t="s">
        <v>407</v>
      </c>
    </row>
    <row r="105" ht="16.5" spans="1:6">
      <c r="A105" s="27" t="str">
        <f>"880604"</f>
        <v>880604</v>
      </c>
      <c r="B105" s="27" t="s">
        <v>408</v>
      </c>
      <c r="C105" s="27" t="s">
        <v>409</v>
      </c>
      <c r="D105" s="27" t="str">
        <f>"880611"</f>
        <v>880611</v>
      </c>
      <c r="E105" s="27" t="s">
        <v>410</v>
      </c>
      <c r="F105" s="27" t="s">
        <v>411</v>
      </c>
    </row>
    <row r="106" ht="16.5" spans="1:6">
      <c r="A106" s="27" t="str">
        <f>"880573"</f>
        <v>880573</v>
      </c>
      <c r="B106" s="27" t="s">
        <v>412</v>
      </c>
      <c r="C106" s="27" t="s">
        <v>413</v>
      </c>
      <c r="D106" s="27" t="str">
        <f>"880807"</f>
        <v>880807</v>
      </c>
      <c r="E106" s="27" t="s">
        <v>414</v>
      </c>
      <c r="F106" s="27" t="s">
        <v>415</v>
      </c>
    </row>
    <row r="107" ht="16.5" spans="1:6">
      <c r="A107" s="27" t="str">
        <f>"880796"</f>
        <v>880796</v>
      </c>
      <c r="B107" s="27" t="s">
        <v>416</v>
      </c>
      <c r="C107" s="27" t="s">
        <v>417</v>
      </c>
      <c r="D107" s="27" t="str">
        <f>"880646"</f>
        <v>880646</v>
      </c>
      <c r="E107" s="27" t="s">
        <v>418</v>
      </c>
      <c r="F107" s="27" t="s">
        <v>419</v>
      </c>
    </row>
    <row r="108" ht="16.5" spans="1:6">
      <c r="A108" s="27" t="str">
        <f>"880893"</f>
        <v>880893</v>
      </c>
      <c r="B108" s="27" t="s">
        <v>420</v>
      </c>
      <c r="C108" s="27" t="s">
        <v>421</v>
      </c>
      <c r="D108" s="27" t="str">
        <f>"880734"</f>
        <v>880734</v>
      </c>
      <c r="E108" s="27" t="s">
        <v>422</v>
      </c>
      <c r="F108" s="27" t="s">
        <v>423</v>
      </c>
    </row>
    <row r="109" ht="16.5" spans="1:6">
      <c r="A109" s="27" t="str">
        <f>"880206"</f>
        <v>880206</v>
      </c>
      <c r="B109" s="27" t="s">
        <v>424</v>
      </c>
      <c r="C109" s="27" t="s">
        <v>425</v>
      </c>
      <c r="D109" s="27" t="str">
        <f>"880713"</f>
        <v>880713</v>
      </c>
      <c r="E109" s="27" t="s">
        <v>426</v>
      </c>
      <c r="F109" s="27" t="s">
        <v>427</v>
      </c>
    </row>
    <row r="110" ht="16.5" spans="1:6">
      <c r="A110" s="27" t="str">
        <f>"880350"</f>
        <v>880350</v>
      </c>
      <c r="B110" s="27" t="s">
        <v>428</v>
      </c>
      <c r="C110" s="27" t="s">
        <v>429</v>
      </c>
      <c r="D110" s="27" t="str">
        <f>"880749"</f>
        <v>880749</v>
      </c>
      <c r="E110" s="27" t="s">
        <v>430</v>
      </c>
      <c r="F110" s="27" t="s">
        <v>431</v>
      </c>
    </row>
    <row r="111" ht="16.5" spans="1:6">
      <c r="A111" s="27" t="str">
        <f>"880454"</f>
        <v>880454</v>
      </c>
      <c r="B111" s="27" t="s">
        <v>432</v>
      </c>
      <c r="C111" s="27" t="s">
        <v>433</v>
      </c>
      <c r="D111" s="27" t="str">
        <f>"880968"</f>
        <v>880968</v>
      </c>
      <c r="E111" s="27" t="s">
        <v>434</v>
      </c>
      <c r="F111" s="27" t="s">
        <v>435</v>
      </c>
    </row>
    <row r="112" ht="16.5" spans="1:6">
      <c r="A112" s="27" t="str">
        <f>"000003"</f>
        <v>000003</v>
      </c>
      <c r="B112" s="27" t="s">
        <v>436</v>
      </c>
      <c r="C112" s="27" t="s">
        <v>437</v>
      </c>
      <c r="D112" s="27" t="str">
        <f>"880701"</f>
        <v>880701</v>
      </c>
      <c r="E112" s="27" t="s">
        <v>438</v>
      </c>
      <c r="F112" s="27" t="s">
        <v>439</v>
      </c>
    </row>
    <row r="113" ht="16.5" spans="1:6">
      <c r="A113" s="27" t="str">
        <f>"399108"</f>
        <v>399108</v>
      </c>
      <c r="B113" s="27" t="s">
        <v>440</v>
      </c>
      <c r="C113" s="27" t="s">
        <v>441</v>
      </c>
      <c r="D113" s="27" t="str">
        <f>"880586"</f>
        <v>880586</v>
      </c>
      <c r="E113" s="27" t="s">
        <v>442</v>
      </c>
      <c r="F113" s="27" t="s">
        <v>443</v>
      </c>
    </row>
    <row r="114" ht="16.5" spans="1:6">
      <c r="A114" s="27" t="str">
        <f>"880585"</f>
        <v>880585</v>
      </c>
      <c r="B114" s="27" t="s">
        <v>444</v>
      </c>
      <c r="C114" s="27" t="s">
        <v>445</v>
      </c>
      <c r="D114" s="27" t="str">
        <f>"880709"</f>
        <v>880709</v>
      </c>
      <c r="E114" s="27" t="s">
        <v>446</v>
      </c>
      <c r="F114" s="27" t="s">
        <v>447</v>
      </c>
    </row>
    <row r="115" ht="16.5" spans="1:6">
      <c r="A115" s="27" t="str">
        <f>"399003"</f>
        <v>399003</v>
      </c>
      <c r="B115" s="27" t="s">
        <v>448</v>
      </c>
      <c r="C115" s="27" t="s">
        <v>449</v>
      </c>
      <c r="D115" s="27" t="str">
        <f>"880873"</f>
        <v>880873</v>
      </c>
      <c r="E115" s="27" t="s">
        <v>450</v>
      </c>
      <c r="F115" s="27" t="s">
        <v>451</v>
      </c>
    </row>
    <row r="116" ht="16.5" spans="1:6">
      <c r="A116" s="27" t="str">
        <f>"880453"</f>
        <v>880453</v>
      </c>
      <c r="B116" s="27" t="s">
        <v>452</v>
      </c>
      <c r="C116" s="27" t="s">
        <v>453</v>
      </c>
      <c r="D116" s="27" t="str">
        <f>"880575"</f>
        <v>880575</v>
      </c>
      <c r="E116" s="27" t="s">
        <v>454</v>
      </c>
      <c r="F116" s="27" t="s">
        <v>455</v>
      </c>
    </row>
    <row r="117" ht="16.5" spans="1:6">
      <c r="A117" s="27" t="str">
        <f>"999997"</f>
        <v>999997</v>
      </c>
      <c r="B117" s="27" t="s">
        <v>436</v>
      </c>
      <c r="C117" s="27" t="s">
        <v>456</v>
      </c>
      <c r="D117" s="27" t="str">
        <f>"880797"</f>
        <v>880797</v>
      </c>
      <c r="E117" s="27" t="s">
        <v>457</v>
      </c>
      <c r="F117" s="27" t="s">
        <v>458</v>
      </c>
    </row>
    <row r="118" ht="16.5" spans="1:6">
      <c r="A118" s="27" t="str">
        <f>"999998"</f>
        <v>999998</v>
      </c>
      <c r="B118" s="27" t="s">
        <v>19</v>
      </c>
      <c r="C118" s="27" t="s">
        <v>456</v>
      </c>
      <c r="D118" s="27" t="str">
        <f>"880923"</f>
        <v>880923</v>
      </c>
      <c r="E118" s="27" t="s">
        <v>459</v>
      </c>
      <c r="F118" s="27" t="s">
        <v>460</v>
      </c>
    </row>
    <row r="119" ht="16.5" spans="1:6">
      <c r="A119" s="27" t="str">
        <f>"399974"</f>
        <v>399974</v>
      </c>
      <c r="B119" s="27" t="s">
        <v>461</v>
      </c>
      <c r="C119" s="27" t="s">
        <v>456</v>
      </c>
      <c r="D119" s="27" t="str">
        <f>"880657"</f>
        <v>880657</v>
      </c>
      <c r="E119" s="27" t="s">
        <v>462</v>
      </c>
      <c r="F119" s="27" t="s">
        <v>463</v>
      </c>
    </row>
    <row r="120" ht="16.5" spans="1:6">
      <c r="A120" s="27" t="str">
        <f>"399905"</f>
        <v>399905</v>
      </c>
      <c r="B120" s="27" t="s">
        <v>464</v>
      </c>
      <c r="C120" s="27" t="s">
        <v>456</v>
      </c>
      <c r="D120" s="27" t="str">
        <f>"880974"</f>
        <v>880974</v>
      </c>
      <c r="E120" s="27" t="s">
        <v>465</v>
      </c>
      <c r="F120" s="27" t="s">
        <v>466</v>
      </c>
    </row>
    <row r="121" ht="16.5" spans="1:6">
      <c r="A121" s="27" t="str">
        <f>"399903"</f>
        <v>399903</v>
      </c>
      <c r="B121" s="27" t="s">
        <v>467</v>
      </c>
      <c r="C121" s="27" t="s">
        <v>456</v>
      </c>
      <c r="D121" s="27" t="str">
        <f>"880702"</f>
        <v>880702</v>
      </c>
      <c r="E121" s="27" t="s">
        <v>468</v>
      </c>
      <c r="F121" s="27" t="s">
        <v>469</v>
      </c>
    </row>
    <row r="122" ht="16.5" spans="1:6">
      <c r="A122" s="27" t="str">
        <f>"399750"</f>
        <v>399750</v>
      </c>
      <c r="B122" s="27" t="s">
        <v>470</v>
      </c>
      <c r="C122" s="27" t="s">
        <v>456</v>
      </c>
      <c r="D122" s="27" t="str">
        <f>"880903"</f>
        <v>880903</v>
      </c>
      <c r="E122" s="27" t="s">
        <v>471</v>
      </c>
      <c r="F122" s="27" t="s">
        <v>472</v>
      </c>
    </row>
    <row r="123" ht="16.5" spans="1:6">
      <c r="A123" s="27" t="str">
        <f>"399608"</f>
        <v>399608</v>
      </c>
      <c r="B123" s="27" t="s">
        <v>473</v>
      </c>
      <c r="C123" s="27" t="s">
        <v>456</v>
      </c>
      <c r="D123" s="27" t="str">
        <f>"880676"</f>
        <v>880676</v>
      </c>
      <c r="E123" s="27" t="s">
        <v>474</v>
      </c>
      <c r="F123" s="27" t="s">
        <v>456</v>
      </c>
    </row>
    <row r="124" ht="16.5" spans="1:6">
      <c r="A124" s="27" t="str">
        <f>"399391"</f>
        <v>399391</v>
      </c>
      <c r="B124" s="27" t="s">
        <v>475</v>
      </c>
      <c r="C124" s="27" t="s">
        <v>456</v>
      </c>
      <c r="D124" s="27" t="str">
        <f>"000683"</f>
        <v>000683</v>
      </c>
      <c r="E124" s="27" t="s">
        <v>476</v>
      </c>
      <c r="F124" s="27" t="s">
        <v>456</v>
      </c>
    </row>
    <row r="125" ht="16.5" spans="1:6">
      <c r="A125" s="27" t="str">
        <f>"399376"</f>
        <v>399376</v>
      </c>
      <c r="B125" s="27" t="s">
        <v>477</v>
      </c>
      <c r="C125" s="27" t="s">
        <v>456</v>
      </c>
      <c r="D125" s="27" t="str">
        <f>"000043"</f>
        <v>000043</v>
      </c>
      <c r="E125" s="27" t="s">
        <v>478</v>
      </c>
      <c r="F125" s="27" t="s">
        <v>456</v>
      </c>
    </row>
    <row r="126" ht="16.5" spans="1:6">
      <c r="A126" s="27" t="str">
        <f>"399372"</f>
        <v>399372</v>
      </c>
      <c r="B126" s="27" t="s">
        <v>479</v>
      </c>
      <c r="C126" s="27" t="s">
        <v>456</v>
      </c>
      <c r="D126" s="27" t="str">
        <f>"399365"</f>
        <v>399365</v>
      </c>
      <c r="E126" s="27" t="s">
        <v>480</v>
      </c>
      <c r="F126" s="27" t="s">
        <v>456</v>
      </c>
    </row>
    <row r="127" ht="16.5" spans="1:3">
      <c r="A127" s="27" t="str">
        <f>"399371"</f>
        <v>399371</v>
      </c>
      <c r="B127" s="27" t="s">
        <v>481</v>
      </c>
      <c r="C127" s="27" t="s">
        <v>456</v>
      </c>
    </row>
    <row r="128" ht="16.5" spans="1:3">
      <c r="A128" s="27" t="str">
        <f>"399370"</f>
        <v>399370</v>
      </c>
      <c r="B128" s="27" t="s">
        <v>482</v>
      </c>
      <c r="C128" s="27" t="s">
        <v>456</v>
      </c>
    </row>
    <row r="129" ht="16.5" spans="1:3">
      <c r="A129" s="27" t="str">
        <f>"399366"</f>
        <v>399366</v>
      </c>
      <c r="B129" s="27" t="s">
        <v>483</v>
      </c>
      <c r="C129" s="27" t="s">
        <v>456</v>
      </c>
    </row>
    <row r="130" ht="16.5" spans="1:3">
      <c r="A130" s="27" t="str">
        <f>"399362"</f>
        <v>399362</v>
      </c>
      <c r="B130" s="27" t="s">
        <v>484</v>
      </c>
      <c r="C130" s="27" t="s">
        <v>456</v>
      </c>
    </row>
    <row r="131" ht="16.5" spans="1:3">
      <c r="A131" s="27" t="str">
        <f>"399359"</f>
        <v>399359</v>
      </c>
      <c r="B131" s="27" t="s">
        <v>485</v>
      </c>
      <c r="C131" s="27" t="s">
        <v>456</v>
      </c>
    </row>
    <row r="132" ht="16.5" spans="1:3">
      <c r="A132" s="27" t="str">
        <f>"399357"</f>
        <v>399357</v>
      </c>
      <c r="B132" s="27" t="s">
        <v>486</v>
      </c>
      <c r="C132" s="27" t="s">
        <v>456</v>
      </c>
    </row>
    <row r="133" ht="16.5" spans="1:3">
      <c r="A133" s="27" t="str">
        <f>"399348"</f>
        <v>399348</v>
      </c>
      <c r="B133" s="27" t="s">
        <v>487</v>
      </c>
      <c r="C133" s="27" t="s">
        <v>456</v>
      </c>
    </row>
    <row r="134" ht="16.5" spans="1:3">
      <c r="A134" s="27" t="str">
        <f>"399346"</f>
        <v>399346</v>
      </c>
      <c r="B134" s="27" t="s">
        <v>488</v>
      </c>
      <c r="C134" s="27" t="s">
        <v>456</v>
      </c>
    </row>
    <row r="135" ht="16.5" spans="1:3">
      <c r="A135" s="27" t="str">
        <f>"399324"</f>
        <v>399324</v>
      </c>
      <c r="B135" s="27" t="s">
        <v>489</v>
      </c>
      <c r="C135" s="27" t="s">
        <v>456</v>
      </c>
    </row>
    <row r="136" ht="16.5" spans="1:3">
      <c r="A136" s="27" t="str">
        <f>"399322"</f>
        <v>399322</v>
      </c>
      <c r="B136" s="27" t="s">
        <v>490</v>
      </c>
      <c r="C136" s="27" t="s">
        <v>456</v>
      </c>
    </row>
    <row r="137" ht="16.5" spans="1:3">
      <c r="A137" s="27" t="str">
        <f>"399320"</f>
        <v>399320</v>
      </c>
      <c r="B137" s="27" t="s">
        <v>491</v>
      </c>
      <c r="C137" s="27" t="s">
        <v>456</v>
      </c>
    </row>
    <row r="138" ht="16.5" spans="1:3">
      <c r="A138" s="27" t="str">
        <f>"399306"</f>
        <v>399306</v>
      </c>
      <c r="B138" s="27" t="s">
        <v>492</v>
      </c>
      <c r="C138" s="27" t="s">
        <v>456</v>
      </c>
    </row>
    <row r="139" ht="16.5" spans="1:3">
      <c r="A139" s="27" t="str">
        <f>"399262"</f>
        <v>399262</v>
      </c>
      <c r="B139" s="27" t="s">
        <v>493</v>
      </c>
      <c r="C139" s="27" t="s">
        <v>456</v>
      </c>
    </row>
    <row r="140" ht="16.5" spans="1:3">
      <c r="A140" s="27" t="str">
        <f>"399020"</f>
        <v>399020</v>
      </c>
      <c r="B140" s="27" t="s">
        <v>494</v>
      </c>
      <c r="C140" s="27" t="s">
        <v>456</v>
      </c>
    </row>
    <row r="141" ht="16.5" spans="1:3">
      <c r="A141" s="27" t="str">
        <f>"399019"</f>
        <v>399019</v>
      </c>
      <c r="B141" s="27" t="s">
        <v>495</v>
      </c>
      <c r="C141" s="27" t="s">
        <v>456</v>
      </c>
    </row>
    <row r="142" ht="16.5" spans="1:3">
      <c r="A142" s="27" t="str">
        <f>"399018"</f>
        <v>399018</v>
      </c>
      <c r="B142" s="27" t="s">
        <v>496</v>
      </c>
      <c r="C142" s="27" t="s">
        <v>456</v>
      </c>
    </row>
    <row r="143" ht="16.5" spans="1:3">
      <c r="A143" s="27" t="str">
        <f>"880890"</f>
        <v>880890</v>
      </c>
      <c r="B143" s="27" t="s">
        <v>497</v>
      </c>
      <c r="C143" s="27" t="s">
        <v>456</v>
      </c>
    </row>
    <row r="144" ht="16.5" spans="1:3">
      <c r="A144" s="27" t="str">
        <f>"880698"</f>
        <v>880698</v>
      </c>
      <c r="B144" s="27" t="s">
        <v>498</v>
      </c>
      <c r="C144" s="27" t="s">
        <v>456</v>
      </c>
    </row>
    <row r="145" ht="16.5" spans="1:3">
      <c r="A145" s="27" t="str">
        <f>"000847"</f>
        <v>000847</v>
      </c>
      <c r="B145" s="27" t="s">
        <v>499</v>
      </c>
      <c r="C145" s="27" t="s">
        <v>456</v>
      </c>
    </row>
    <row r="146" ht="16.5" spans="1:3">
      <c r="A146" s="27" t="str">
        <f>"000689"</f>
        <v>000689</v>
      </c>
      <c r="B146" s="27" t="s">
        <v>500</v>
      </c>
      <c r="C146" s="27" t="s">
        <v>456</v>
      </c>
    </row>
    <row r="147" ht="16.5" spans="1:3">
      <c r="A147" s="27" t="str">
        <f>"000687"</f>
        <v>000687</v>
      </c>
      <c r="B147" s="27" t="s">
        <v>501</v>
      </c>
      <c r="C147" s="27" t="s">
        <v>456</v>
      </c>
    </row>
    <row r="148" ht="16.5" spans="1:3">
      <c r="A148" s="27" t="str">
        <f>"000159"</f>
        <v>000159</v>
      </c>
      <c r="B148" s="27" t="s">
        <v>502</v>
      </c>
      <c r="C148" s="27" t="s">
        <v>456</v>
      </c>
    </row>
    <row r="149" ht="16.5" spans="1:3">
      <c r="A149" s="27" t="str">
        <f>"000122"</f>
        <v>000122</v>
      </c>
      <c r="B149" s="27" t="s">
        <v>503</v>
      </c>
      <c r="C149" s="27" t="s">
        <v>456</v>
      </c>
    </row>
    <row r="150" ht="16.5" spans="1:3">
      <c r="A150" s="27" t="str">
        <f>"000044"</f>
        <v>000044</v>
      </c>
      <c r="B150" s="27" t="s">
        <v>504</v>
      </c>
      <c r="C150" s="27" t="s">
        <v>456</v>
      </c>
    </row>
    <row r="151" ht="16.5" spans="1:3">
      <c r="A151" s="27" t="str">
        <f>"000019"</f>
        <v>000019</v>
      </c>
      <c r="B151" s="27" t="s">
        <v>505</v>
      </c>
      <c r="C151" s="27" t="s">
        <v>456</v>
      </c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466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506</v>
      </c>
      <c r="B1" s="2"/>
      <c r="C1" s="2"/>
      <c r="D1" s="2"/>
      <c r="E1" s="2"/>
      <c r="F1" s="2"/>
      <c r="G1" s="2"/>
      <c r="H1" s="2"/>
      <c r="I1" s="2"/>
      <c r="J1" s="2"/>
      <c r="K1" s="1" t="s">
        <v>507</v>
      </c>
      <c r="L1" s="1"/>
      <c r="M1" s="1"/>
      <c r="N1" s="1"/>
      <c r="O1" s="1"/>
      <c r="P1" s="1"/>
      <c r="Q1" s="1"/>
      <c r="R1" s="1"/>
    </row>
    <row r="2" ht="22.5" spans="1:18">
      <c r="A2" s="3" t="s">
        <v>508</v>
      </c>
      <c r="B2" s="4" t="s">
        <v>509</v>
      </c>
      <c r="C2" s="4" t="s">
        <v>510</v>
      </c>
      <c r="D2" s="4" t="s">
        <v>511</v>
      </c>
      <c r="E2" s="4" t="s">
        <v>512</v>
      </c>
      <c r="F2" s="4" t="s">
        <v>513</v>
      </c>
      <c r="G2" s="4" t="s">
        <v>514</v>
      </c>
      <c r="H2" s="4" t="s">
        <v>515</v>
      </c>
      <c r="I2" s="4" t="s">
        <v>516</v>
      </c>
      <c r="J2" s="4" t="s">
        <v>517</v>
      </c>
      <c r="K2" s="11" t="s">
        <v>518</v>
      </c>
      <c r="L2" s="11" t="s">
        <v>519</v>
      </c>
      <c r="M2" s="11" t="s">
        <v>520</v>
      </c>
      <c r="N2" s="11" t="s">
        <v>521</v>
      </c>
      <c r="O2" s="11" t="s">
        <v>522</v>
      </c>
      <c r="P2" s="11" t="s">
        <v>523</v>
      </c>
      <c r="Q2" s="11" t="s">
        <v>524</v>
      </c>
      <c r="R2" s="11" t="s">
        <v>525</v>
      </c>
    </row>
    <row r="3" ht="16.5" spans="1:18">
      <c r="A3" s="15">
        <v>13</v>
      </c>
      <c r="B3" s="15" t="s">
        <v>526</v>
      </c>
      <c r="C3" s="15">
        <v>292.619</v>
      </c>
      <c r="D3" s="15">
        <v>295.474</v>
      </c>
      <c r="E3" s="15">
        <v>0</v>
      </c>
      <c r="F3" s="15">
        <v>0</v>
      </c>
      <c r="G3" s="15">
        <v>0</v>
      </c>
      <c r="H3" s="15">
        <v>1</v>
      </c>
      <c r="I3" s="18">
        <v>0.326</v>
      </c>
      <c r="J3" s="18">
        <v>1.289</v>
      </c>
      <c r="K3" s="19">
        <v>4</v>
      </c>
      <c r="L3" s="19">
        <v>0</v>
      </c>
      <c r="M3" s="19">
        <v>0</v>
      </c>
      <c r="N3" s="19">
        <v>0</v>
      </c>
      <c r="O3" s="19">
        <v>0</v>
      </c>
      <c r="P3" s="19">
        <v>-9.726</v>
      </c>
      <c r="Q3" s="19">
        <v>0</v>
      </c>
      <c r="R3" s="19">
        <v>1</v>
      </c>
    </row>
    <row r="4" ht="16.5" spans="1:18">
      <c r="A4" s="15">
        <v>22</v>
      </c>
      <c r="B4" s="15" t="s">
        <v>527</v>
      </c>
      <c r="C4" s="15">
        <v>245.58</v>
      </c>
      <c r="D4" s="15">
        <v>247.896</v>
      </c>
      <c r="E4" s="15">
        <v>0</v>
      </c>
      <c r="F4" s="15">
        <v>0</v>
      </c>
      <c r="G4" s="15">
        <v>0</v>
      </c>
      <c r="H4" s="15">
        <v>1</v>
      </c>
      <c r="I4" s="18">
        <v>0.304</v>
      </c>
      <c r="J4" s="18">
        <v>1.236</v>
      </c>
      <c r="K4" s="19">
        <v>4</v>
      </c>
      <c r="L4" s="19">
        <v>0</v>
      </c>
      <c r="M4" s="19">
        <v>0</v>
      </c>
      <c r="N4" s="19">
        <v>0</v>
      </c>
      <c r="O4" s="19">
        <v>0</v>
      </c>
      <c r="P4" s="19">
        <v>-10.167</v>
      </c>
      <c r="Q4" s="19">
        <v>0</v>
      </c>
      <c r="R4" s="19">
        <v>1</v>
      </c>
    </row>
    <row r="5" ht="16.5" spans="1:18">
      <c r="A5" s="15">
        <v>61</v>
      </c>
      <c r="B5" s="15" t="s">
        <v>528</v>
      </c>
      <c r="C5" s="15">
        <v>173.884</v>
      </c>
      <c r="D5" s="15">
        <v>176.449</v>
      </c>
      <c r="E5" s="15">
        <v>0</v>
      </c>
      <c r="F5" s="15">
        <v>0</v>
      </c>
      <c r="G5" s="15">
        <v>0</v>
      </c>
      <c r="H5" s="15">
        <v>1</v>
      </c>
      <c r="I5" s="18">
        <v>0.371</v>
      </c>
      <c r="J5" s="18">
        <v>1.819</v>
      </c>
      <c r="K5" s="19">
        <v>3</v>
      </c>
      <c r="L5" s="19">
        <v>0</v>
      </c>
      <c r="M5" s="19">
        <v>0</v>
      </c>
      <c r="N5" s="19">
        <v>0</v>
      </c>
      <c r="O5" s="19">
        <v>0</v>
      </c>
      <c r="P5" s="19">
        <v>-1.305</v>
      </c>
      <c r="Q5" s="19">
        <v>0</v>
      </c>
      <c r="R5" s="19">
        <v>0</v>
      </c>
    </row>
    <row r="6" ht="16.5" spans="1:18">
      <c r="A6" s="15">
        <v>101</v>
      </c>
      <c r="B6" s="15" t="s">
        <v>529</v>
      </c>
      <c r="C6" s="15">
        <v>243.598</v>
      </c>
      <c r="D6" s="15">
        <v>245.9</v>
      </c>
      <c r="E6" s="15">
        <v>0</v>
      </c>
      <c r="F6" s="15">
        <v>0</v>
      </c>
      <c r="G6" s="15">
        <v>0</v>
      </c>
      <c r="H6" s="15">
        <v>1</v>
      </c>
      <c r="I6" s="18">
        <v>0.295</v>
      </c>
      <c r="J6" s="18">
        <v>1.229</v>
      </c>
      <c r="K6" s="19">
        <v>3</v>
      </c>
      <c r="L6" s="19">
        <v>0</v>
      </c>
      <c r="M6" s="19">
        <v>0</v>
      </c>
      <c r="N6" s="19">
        <v>0</v>
      </c>
      <c r="O6" s="19">
        <v>0</v>
      </c>
      <c r="P6" s="19">
        <v>-9.571</v>
      </c>
      <c r="Q6" s="19">
        <v>0</v>
      </c>
      <c r="R6" s="19">
        <v>1</v>
      </c>
    </row>
    <row r="7" ht="16.5" spans="1:18">
      <c r="A7" s="15">
        <v>116</v>
      </c>
      <c r="B7" s="15" t="s">
        <v>530</v>
      </c>
      <c r="C7" s="15">
        <v>193.547</v>
      </c>
      <c r="D7" s="15">
        <v>195.838</v>
      </c>
      <c r="E7" s="15">
        <v>0</v>
      </c>
      <c r="F7" s="15">
        <v>0</v>
      </c>
      <c r="G7" s="15">
        <v>0</v>
      </c>
      <c r="H7" s="15">
        <v>1</v>
      </c>
      <c r="I7" s="18">
        <v>0.287</v>
      </c>
      <c r="J7" s="18">
        <v>1.453</v>
      </c>
      <c r="K7" s="19">
        <v>4</v>
      </c>
      <c r="L7" s="19">
        <v>0</v>
      </c>
      <c r="M7" s="19">
        <v>0</v>
      </c>
      <c r="N7" s="19">
        <v>1</v>
      </c>
      <c r="O7" s="19">
        <v>0</v>
      </c>
      <c r="P7" s="19">
        <v>-7.919</v>
      </c>
      <c r="Q7" s="19">
        <v>0</v>
      </c>
      <c r="R7" s="19">
        <v>1</v>
      </c>
    </row>
    <row r="8" ht="16.5" spans="1:18">
      <c r="A8" s="15">
        <v>923</v>
      </c>
      <c r="B8" s="15" t="s">
        <v>531</v>
      </c>
      <c r="C8" s="15">
        <v>246.129</v>
      </c>
      <c r="D8" s="15">
        <v>248.514</v>
      </c>
      <c r="E8" s="15">
        <v>0</v>
      </c>
      <c r="F8" s="15">
        <v>0</v>
      </c>
      <c r="G8" s="15">
        <v>0</v>
      </c>
      <c r="H8" s="15">
        <v>1</v>
      </c>
      <c r="I8" s="18">
        <v>0.271</v>
      </c>
      <c r="J8" s="18">
        <v>1.228</v>
      </c>
      <c r="K8" s="19">
        <v>1</v>
      </c>
      <c r="L8" s="19">
        <v>1</v>
      </c>
      <c r="M8" s="19">
        <v>0</v>
      </c>
      <c r="N8" s="19">
        <v>0</v>
      </c>
      <c r="O8" s="19">
        <v>0</v>
      </c>
      <c r="P8" s="19">
        <v>-14.334</v>
      </c>
      <c r="Q8" s="19">
        <v>0</v>
      </c>
      <c r="R8" s="19">
        <v>1</v>
      </c>
    </row>
    <row r="9" ht="16.5" spans="1:18">
      <c r="A9" s="15">
        <v>399289</v>
      </c>
      <c r="B9" s="15" t="s">
        <v>532</v>
      </c>
      <c r="C9" s="15">
        <v>116.808</v>
      </c>
      <c r="D9" s="15">
        <v>117.967</v>
      </c>
      <c r="E9" s="15">
        <v>0</v>
      </c>
      <c r="F9" s="15">
        <v>0</v>
      </c>
      <c r="G9" s="15">
        <v>0</v>
      </c>
      <c r="H9" s="15">
        <v>1</v>
      </c>
      <c r="I9" s="18">
        <v>0.413</v>
      </c>
      <c r="J9" s="18">
        <v>1.391</v>
      </c>
      <c r="K9" s="19">
        <v>4</v>
      </c>
      <c r="L9" s="19">
        <v>0</v>
      </c>
      <c r="M9" s="19">
        <v>0</v>
      </c>
      <c r="N9" s="19">
        <v>1</v>
      </c>
      <c r="O9" s="19">
        <v>0</v>
      </c>
      <c r="P9" s="19">
        <v>-12.428</v>
      </c>
      <c r="Q9" s="19">
        <v>0</v>
      </c>
      <c r="R9" s="19">
        <v>0</v>
      </c>
    </row>
    <row r="10" ht="16.5" spans="1:18">
      <c r="A10" s="15">
        <v>399298</v>
      </c>
      <c r="B10" s="15" t="s">
        <v>533</v>
      </c>
      <c r="C10" s="15">
        <v>206.878</v>
      </c>
      <c r="D10" s="15">
        <v>209.133</v>
      </c>
      <c r="E10" s="15">
        <v>0</v>
      </c>
      <c r="F10" s="15">
        <v>0</v>
      </c>
      <c r="G10" s="15">
        <v>0</v>
      </c>
      <c r="H10" s="15">
        <v>1</v>
      </c>
      <c r="I10" s="18">
        <v>0.305</v>
      </c>
      <c r="J10" s="18">
        <v>1.38</v>
      </c>
      <c r="K10" s="19">
        <v>4</v>
      </c>
      <c r="L10" s="19">
        <v>0</v>
      </c>
      <c r="M10" s="19">
        <v>0</v>
      </c>
      <c r="N10" s="19">
        <v>1</v>
      </c>
      <c r="O10" s="19">
        <v>0</v>
      </c>
      <c r="P10" s="19">
        <v>-6.731</v>
      </c>
      <c r="Q10" s="19">
        <v>0</v>
      </c>
      <c r="R10" s="19">
        <v>1</v>
      </c>
    </row>
    <row r="11" ht="16.5" spans="1:18">
      <c r="A11" s="15">
        <v>399299</v>
      </c>
      <c r="B11" s="15" t="s">
        <v>534</v>
      </c>
      <c r="C11" s="15">
        <v>238.308</v>
      </c>
      <c r="D11" s="15">
        <v>240.618</v>
      </c>
      <c r="E11" s="15">
        <v>0</v>
      </c>
      <c r="F11" s="15">
        <v>0</v>
      </c>
      <c r="G11" s="15">
        <v>0</v>
      </c>
      <c r="H11" s="15">
        <v>1</v>
      </c>
      <c r="I11" s="18">
        <v>0.205</v>
      </c>
      <c r="J11" s="18">
        <v>1.163</v>
      </c>
      <c r="K11" s="19">
        <v>4</v>
      </c>
      <c r="L11" s="19">
        <v>0</v>
      </c>
      <c r="M11" s="19">
        <v>0</v>
      </c>
      <c r="N11" s="19">
        <v>0</v>
      </c>
      <c r="O11" s="19">
        <v>0</v>
      </c>
      <c r="P11" s="19">
        <v>-22.788</v>
      </c>
      <c r="Q11" s="19">
        <v>0</v>
      </c>
      <c r="R11" s="19">
        <v>0</v>
      </c>
    </row>
    <row r="12" ht="16.5" spans="1:18">
      <c r="A12" s="15">
        <v>399301</v>
      </c>
      <c r="B12" s="15" t="s">
        <v>535</v>
      </c>
      <c r="C12" s="15">
        <v>210.611</v>
      </c>
      <c r="D12" s="15">
        <v>212.906</v>
      </c>
      <c r="E12" s="15">
        <v>0</v>
      </c>
      <c r="F12" s="15">
        <v>0</v>
      </c>
      <c r="G12" s="15">
        <v>0</v>
      </c>
      <c r="H12" s="15">
        <v>1</v>
      </c>
      <c r="I12" s="18">
        <v>0.305</v>
      </c>
      <c r="J12" s="18">
        <v>1.379</v>
      </c>
      <c r="K12" s="19">
        <v>3</v>
      </c>
      <c r="L12" s="19">
        <v>0</v>
      </c>
      <c r="M12" s="19">
        <v>0</v>
      </c>
      <c r="N12" s="19">
        <v>0</v>
      </c>
      <c r="O12" s="19">
        <v>0</v>
      </c>
      <c r="P12" s="19">
        <v>-12.625</v>
      </c>
      <c r="Q12" s="19">
        <v>1</v>
      </c>
      <c r="R12" s="19">
        <v>0</v>
      </c>
    </row>
    <row r="13" ht="16.5" spans="1:18">
      <c r="A13" s="15">
        <v>399302</v>
      </c>
      <c r="B13" s="15" t="s">
        <v>536</v>
      </c>
      <c r="C13" s="15">
        <v>214.546</v>
      </c>
      <c r="D13" s="15">
        <v>217.139</v>
      </c>
      <c r="E13" s="15">
        <v>0</v>
      </c>
      <c r="F13" s="15">
        <v>0</v>
      </c>
      <c r="G13" s="15">
        <v>0</v>
      </c>
      <c r="H13" s="15">
        <v>1</v>
      </c>
      <c r="I13" s="18">
        <v>0.099</v>
      </c>
      <c r="J13" s="18">
        <v>1.292</v>
      </c>
      <c r="K13" s="19">
        <v>3</v>
      </c>
      <c r="L13" s="19">
        <v>1</v>
      </c>
      <c r="M13" s="19">
        <v>0</v>
      </c>
      <c r="N13" s="19">
        <v>0</v>
      </c>
      <c r="O13" s="19">
        <v>0</v>
      </c>
      <c r="P13" s="19">
        <v>-23.937</v>
      </c>
      <c r="Q13" s="19">
        <v>0</v>
      </c>
      <c r="R13" s="19">
        <v>0</v>
      </c>
    </row>
    <row r="14" ht="16.5" spans="1:18">
      <c r="A14" s="15">
        <v>399427</v>
      </c>
      <c r="B14" s="15" t="s">
        <v>537</v>
      </c>
      <c r="C14" s="15">
        <v>2139.628</v>
      </c>
      <c r="D14" s="15">
        <v>2475.492</v>
      </c>
      <c r="E14" s="15">
        <v>0</v>
      </c>
      <c r="F14" s="15">
        <v>0</v>
      </c>
      <c r="G14" s="15">
        <v>0</v>
      </c>
      <c r="H14" s="15">
        <v>1</v>
      </c>
      <c r="I14" s="18">
        <v>1.685</v>
      </c>
      <c r="J14" s="18">
        <v>15.024</v>
      </c>
      <c r="K14" s="19">
        <v>3</v>
      </c>
      <c r="L14" s="19">
        <v>2</v>
      </c>
      <c r="M14" s="19">
        <v>-1</v>
      </c>
      <c r="N14" s="19">
        <v>1</v>
      </c>
      <c r="O14" s="19">
        <v>0</v>
      </c>
      <c r="P14" s="19">
        <v>0.096</v>
      </c>
      <c r="Q14" s="19">
        <v>0</v>
      </c>
      <c r="R14" s="19">
        <v>0</v>
      </c>
    </row>
    <row r="15" ht="16.5" spans="1:18">
      <c r="A15" s="16">
        <v>1</v>
      </c>
      <c r="B15" s="17" t="s">
        <v>9</v>
      </c>
      <c r="C15" s="17">
        <v>3139.656</v>
      </c>
      <c r="D15" s="17">
        <v>3475.006</v>
      </c>
      <c r="E15" s="17">
        <v>0</v>
      </c>
      <c r="F15" s="17">
        <v>0</v>
      </c>
      <c r="G15" s="17">
        <v>1</v>
      </c>
      <c r="H15" s="18">
        <v>0</v>
      </c>
      <c r="I15" s="18">
        <v>0</v>
      </c>
      <c r="J15" s="18">
        <v>0</v>
      </c>
      <c r="K15" s="19">
        <v>4</v>
      </c>
      <c r="L15" s="19">
        <v>0</v>
      </c>
      <c r="M15" s="19">
        <v>-1</v>
      </c>
      <c r="N15" s="19">
        <v>1</v>
      </c>
      <c r="O15" s="19">
        <v>0</v>
      </c>
      <c r="P15" s="19">
        <v>0.005</v>
      </c>
      <c r="Q15" s="19">
        <v>0</v>
      </c>
      <c r="R15" s="19">
        <v>0</v>
      </c>
    </row>
    <row r="16" ht="16.5" spans="1:18">
      <c r="A16" s="17">
        <v>2</v>
      </c>
      <c r="B16" s="17" t="s">
        <v>19</v>
      </c>
      <c r="C16" s="17">
        <v>3290.786</v>
      </c>
      <c r="D16" s="17">
        <v>3642.34</v>
      </c>
      <c r="E16" s="17">
        <v>0</v>
      </c>
      <c r="F16" s="17">
        <v>0</v>
      </c>
      <c r="G16" s="17">
        <v>1</v>
      </c>
      <c r="H16" s="18">
        <v>0</v>
      </c>
      <c r="I16" s="18">
        <v>0</v>
      </c>
      <c r="J16" s="18">
        <v>0</v>
      </c>
      <c r="K16" s="19">
        <v>4</v>
      </c>
      <c r="L16" s="19">
        <v>0</v>
      </c>
      <c r="M16" s="19">
        <v>0</v>
      </c>
      <c r="N16" s="19">
        <v>1</v>
      </c>
      <c r="O16" s="19">
        <v>0</v>
      </c>
      <c r="P16" s="19">
        <v>-11.537</v>
      </c>
      <c r="Q16" s="19">
        <v>0</v>
      </c>
      <c r="R16" s="19">
        <v>0</v>
      </c>
    </row>
    <row r="17" ht="16.5" spans="1:18">
      <c r="A17" s="17">
        <v>3</v>
      </c>
      <c r="B17" s="17" t="s">
        <v>436</v>
      </c>
      <c r="C17" s="17">
        <v>254.995</v>
      </c>
      <c r="D17" s="17">
        <v>282.437</v>
      </c>
      <c r="E17" s="17">
        <v>0</v>
      </c>
      <c r="F17" s="17">
        <v>0</v>
      </c>
      <c r="G17" s="17">
        <v>1</v>
      </c>
      <c r="H17" s="18">
        <v>0</v>
      </c>
      <c r="I17" s="18">
        <v>0</v>
      </c>
      <c r="J17" s="18">
        <v>0</v>
      </c>
      <c r="K17" s="19">
        <v>3</v>
      </c>
      <c r="L17" s="19">
        <v>0</v>
      </c>
      <c r="M17" s="19">
        <v>0</v>
      </c>
      <c r="N17" s="19">
        <v>0</v>
      </c>
      <c r="O17" s="19">
        <v>0</v>
      </c>
      <c r="P17" s="19">
        <v>-1.854</v>
      </c>
      <c r="Q17" s="19">
        <v>0</v>
      </c>
      <c r="R17" s="19">
        <v>1</v>
      </c>
    </row>
    <row r="18" ht="16.5" spans="1:18">
      <c r="A18" s="17">
        <v>4</v>
      </c>
      <c r="B18" s="17" t="s">
        <v>538</v>
      </c>
      <c r="C18" s="17">
        <v>2706.947</v>
      </c>
      <c r="D18" s="17">
        <v>3033.046</v>
      </c>
      <c r="E18" s="17">
        <v>0</v>
      </c>
      <c r="F18" s="17">
        <v>0</v>
      </c>
      <c r="G18" s="17">
        <v>1</v>
      </c>
      <c r="H18" s="18">
        <v>0</v>
      </c>
      <c r="I18" s="18">
        <v>0</v>
      </c>
      <c r="J18" s="18">
        <v>0</v>
      </c>
      <c r="K18" s="19">
        <v>4</v>
      </c>
      <c r="L18" s="19">
        <v>0</v>
      </c>
      <c r="M18" s="19">
        <v>0</v>
      </c>
      <c r="N18" s="19">
        <v>0</v>
      </c>
      <c r="O18" s="19">
        <v>0</v>
      </c>
      <c r="P18" s="19">
        <v>-8.213</v>
      </c>
      <c r="Q18" s="19">
        <v>0</v>
      </c>
      <c r="R18" s="19">
        <v>1</v>
      </c>
    </row>
    <row r="19" ht="16.5" spans="1:18">
      <c r="A19" s="17">
        <v>6</v>
      </c>
      <c r="B19" s="17" t="s">
        <v>539</v>
      </c>
      <c r="C19" s="17">
        <v>4431.571</v>
      </c>
      <c r="D19" s="17">
        <v>5320.64</v>
      </c>
      <c r="E19" s="17">
        <v>0</v>
      </c>
      <c r="F19" s="17">
        <v>0</v>
      </c>
      <c r="G19" s="17">
        <v>1</v>
      </c>
      <c r="H19" s="18">
        <v>0</v>
      </c>
      <c r="I19" s="18">
        <v>0</v>
      </c>
      <c r="J19" s="18">
        <v>0</v>
      </c>
      <c r="K19" s="19">
        <v>4</v>
      </c>
      <c r="L19" s="19">
        <v>0</v>
      </c>
      <c r="M19" s="19">
        <v>0</v>
      </c>
      <c r="N19" s="19">
        <v>0</v>
      </c>
      <c r="O19" s="19">
        <v>0</v>
      </c>
      <c r="P19" s="19">
        <v>-10.012</v>
      </c>
      <c r="Q19" s="19">
        <v>0</v>
      </c>
      <c r="R19" s="19">
        <v>1</v>
      </c>
    </row>
    <row r="20" ht="16.5" spans="1:18">
      <c r="A20" s="17">
        <v>7</v>
      </c>
      <c r="B20" s="17" t="s">
        <v>540</v>
      </c>
      <c r="C20" s="17">
        <v>4348.467</v>
      </c>
      <c r="D20" s="17">
        <v>4924.937</v>
      </c>
      <c r="E20" s="17">
        <v>0</v>
      </c>
      <c r="F20" s="17">
        <v>0</v>
      </c>
      <c r="G20" s="17">
        <v>1</v>
      </c>
      <c r="H20" s="18">
        <v>0</v>
      </c>
      <c r="I20" s="18">
        <v>0</v>
      </c>
      <c r="J20" s="18">
        <v>0</v>
      </c>
      <c r="K20" s="19">
        <v>4</v>
      </c>
      <c r="L20" s="19">
        <v>0</v>
      </c>
      <c r="M20" s="19">
        <v>0</v>
      </c>
      <c r="N20" s="19">
        <v>1</v>
      </c>
      <c r="O20" s="19">
        <v>0</v>
      </c>
      <c r="P20" s="19">
        <v>-1.779</v>
      </c>
      <c r="Q20" s="19">
        <v>0</v>
      </c>
      <c r="R20" s="19">
        <v>1</v>
      </c>
    </row>
    <row r="21" ht="16.5" spans="1:18">
      <c r="A21" s="17">
        <v>9</v>
      </c>
      <c r="B21" s="17" t="s">
        <v>128</v>
      </c>
      <c r="C21" s="17">
        <v>5052.525</v>
      </c>
      <c r="D21" s="17">
        <v>5714.38</v>
      </c>
      <c r="E21" s="17">
        <v>0</v>
      </c>
      <c r="F21" s="17">
        <v>0</v>
      </c>
      <c r="G21" s="17">
        <v>1</v>
      </c>
      <c r="H21" s="18">
        <v>0</v>
      </c>
      <c r="I21" s="18">
        <v>0</v>
      </c>
      <c r="J21" s="18">
        <v>0</v>
      </c>
      <c r="K21" s="19">
        <v>3</v>
      </c>
      <c r="L21" s="19">
        <v>0</v>
      </c>
      <c r="M21" s="19">
        <v>0</v>
      </c>
      <c r="N21" s="19">
        <v>0</v>
      </c>
      <c r="O21" s="19">
        <v>0</v>
      </c>
      <c r="P21" s="19">
        <v>-5.23</v>
      </c>
      <c r="Q21" s="19">
        <v>0</v>
      </c>
      <c r="R21" s="19">
        <v>0</v>
      </c>
    </row>
    <row r="22" ht="16.5" spans="1:18">
      <c r="A22" s="17">
        <v>10</v>
      </c>
      <c r="B22" s="17" t="s">
        <v>52</v>
      </c>
      <c r="C22" s="17">
        <v>8147.875</v>
      </c>
      <c r="D22" s="17">
        <v>8936.697</v>
      </c>
      <c r="E22" s="17">
        <v>0</v>
      </c>
      <c r="F22" s="17">
        <v>0</v>
      </c>
      <c r="G22" s="17">
        <v>1</v>
      </c>
      <c r="H22" s="18">
        <v>0</v>
      </c>
      <c r="I22" s="18">
        <v>0</v>
      </c>
      <c r="J22" s="18">
        <v>0</v>
      </c>
      <c r="K22" s="19">
        <v>4</v>
      </c>
      <c r="L22" s="19">
        <v>0</v>
      </c>
      <c r="M22" s="19">
        <v>0</v>
      </c>
      <c r="N22" s="19">
        <v>1</v>
      </c>
      <c r="O22" s="19">
        <v>0</v>
      </c>
      <c r="P22" s="19">
        <v>-1.106</v>
      </c>
      <c r="Q22" s="19">
        <v>0</v>
      </c>
      <c r="R22" s="19">
        <v>1</v>
      </c>
    </row>
    <row r="23" ht="16.5" spans="1:18">
      <c r="A23" s="17">
        <v>11</v>
      </c>
      <c r="B23" s="17" t="s">
        <v>541</v>
      </c>
      <c r="C23" s="17">
        <v>6471.646</v>
      </c>
      <c r="D23" s="17">
        <v>7211.087</v>
      </c>
      <c r="E23" s="17">
        <v>0</v>
      </c>
      <c r="F23" s="17">
        <v>0</v>
      </c>
      <c r="G23" s="17">
        <v>1</v>
      </c>
      <c r="H23" s="18">
        <v>0</v>
      </c>
      <c r="I23" s="18">
        <v>0</v>
      </c>
      <c r="J23" s="18">
        <v>0</v>
      </c>
      <c r="K23" s="19">
        <v>2</v>
      </c>
      <c r="L23" s="19">
        <v>0</v>
      </c>
      <c r="M23" s="19">
        <v>0</v>
      </c>
      <c r="N23" s="19">
        <v>0</v>
      </c>
      <c r="O23" s="19">
        <v>0</v>
      </c>
      <c r="P23" s="19">
        <v>0.004</v>
      </c>
      <c r="Q23" s="19">
        <v>0</v>
      </c>
      <c r="R23" s="19">
        <v>0</v>
      </c>
    </row>
    <row r="24" ht="16.5" spans="1:18">
      <c r="A24" s="17">
        <v>15</v>
      </c>
      <c r="B24" s="17" t="s">
        <v>542</v>
      </c>
      <c r="C24" s="17">
        <v>2961.541</v>
      </c>
      <c r="D24" s="17">
        <v>3229.002</v>
      </c>
      <c r="E24" s="17">
        <v>0</v>
      </c>
      <c r="F24" s="17">
        <v>0</v>
      </c>
      <c r="G24" s="17">
        <v>1</v>
      </c>
      <c r="H24" s="18">
        <v>0</v>
      </c>
      <c r="I24" s="18">
        <v>0</v>
      </c>
      <c r="J24" s="18">
        <v>0</v>
      </c>
      <c r="K24" s="19">
        <v>4</v>
      </c>
      <c r="L24" s="19">
        <v>0</v>
      </c>
      <c r="M24" s="19">
        <v>0</v>
      </c>
      <c r="N24" s="19">
        <v>1</v>
      </c>
      <c r="O24" s="19">
        <v>0</v>
      </c>
      <c r="P24" s="19">
        <v>-0.32</v>
      </c>
      <c r="Q24" s="19">
        <v>1</v>
      </c>
      <c r="R24" s="19">
        <v>1</v>
      </c>
    </row>
    <row r="25" ht="16.5" spans="1:18">
      <c r="A25" s="17">
        <v>16</v>
      </c>
      <c r="B25" s="17" t="s">
        <v>543</v>
      </c>
      <c r="C25" s="17">
        <v>2532.338</v>
      </c>
      <c r="D25" s="17">
        <v>2765.979</v>
      </c>
      <c r="E25" s="17">
        <v>0</v>
      </c>
      <c r="F25" s="17">
        <v>0</v>
      </c>
      <c r="G25" s="17">
        <v>1</v>
      </c>
      <c r="H25" s="18">
        <v>0</v>
      </c>
      <c r="I25" s="18">
        <v>0</v>
      </c>
      <c r="J25" s="18">
        <v>0</v>
      </c>
      <c r="K25" s="19">
        <v>1</v>
      </c>
      <c r="L25" s="19">
        <v>0</v>
      </c>
      <c r="M25" s="19">
        <v>0</v>
      </c>
      <c r="N25" s="19">
        <v>0</v>
      </c>
      <c r="O25" s="19">
        <v>0</v>
      </c>
      <c r="P25" s="19">
        <v>-6.822</v>
      </c>
      <c r="Q25" s="19">
        <v>0</v>
      </c>
      <c r="R25" s="19">
        <v>0</v>
      </c>
    </row>
    <row r="26" ht="16.5" spans="1:18">
      <c r="A26" s="17">
        <v>17</v>
      </c>
      <c r="B26" s="17" t="s">
        <v>15</v>
      </c>
      <c r="C26" s="17">
        <v>2653.046</v>
      </c>
      <c r="D26" s="17">
        <v>2936.443</v>
      </c>
      <c r="E26" s="17">
        <v>0</v>
      </c>
      <c r="F26" s="17">
        <v>0</v>
      </c>
      <c r="G26" s="17">
        <v>1</v>
      </c>
      <c r="H26" s="18">
        <v>0</v>
      </c>
      <c r="I26" s="18">
        <v>0</v>
      </c>
      <c r="J26" s="18">
        <v>0</v>
      </c>
      <c r="K26" s="19">
        <v>2</v>
      </c>
      <c r="L26" s="19">
        <v>1</v>
      </c>
      <c r="M26" s="19">
        <v>0</v>
      </c>
      <c r="N26" s="19">
        <v>1</v>
      </c>
      <c r="O26" s="19">
        <v>0</v>
      </c>
      <c r="P26" s="19">
        <v>-1.823</v>
      </c>
      <c r="Q26" s="19">
        <v>0</v>
      </c>
      <c r="R26" s="19">
        <v>1</v>
      </c>
    </row>
    <row r="27" ht="16.5" spans="1:18">
      <c r="A27" s="17">
        <v>19</v>
      </c>
      <c r="B27" s="17" t="s">
        <v>505</v>
      </c>
      <c r="C27" s="17">
        <v>1057.149</v>
      </c>
      <c r="D27" s="17">
        <v>1149.236</v>
      </c>
      <c r="E27" s="17">
        <v>0</v>
      </c>
      <c r="F27" s="17">
        <v>0</v>
      </c>
      <c r="G27" s="17">
        <v>1</v>
      </c>
      <c r="H27" s="18">
        <v>0</v>
      </c>
      <c r="I27" s="18">
        <v>0</v>
      </c>
      <c r="J27" s="18">
        <v>0</v>
      </c>
      <c r="K27" s="19">
        <v>2</v>
      </c>
      <c r="L27" s="19">
        <v>0</v>
      </c>
      <c r="M27" s="19">
        <v>0</v>
      </c>
      <c r="N27" s="19">
        <v>0</v>
      </c>
      <c r="O27" s="19">
        <v>0</v>
      </c>
      <c r="P27" s="19">
        <v>-3.675</v>
      </c>
      <c r="Q27" s="19">
        <v>0</v>
      </c>
      <c r="R27" s="19">
        <v>0</v>
      </c>
    </row>
    <row r="28" ht="16.5" spans="1:18">
      <c r="A28" s="17">
        <v>21</v>
      </c>
      <c r="B28" s="17" t="s">
        <v>544</v>
      </c>
      <c r="C28" s="17">
        <v>936.633</v>
      </c>
      <c r="D28" s="17">
        <v>1014.231</v>
      </c>
      <c r="E28" s="17">
        <v>0</v>
      </c>
      <c r="F28" s="17">
        <v>0</v>
      </c>
      <c r="G28" s="17">
        <v>1</v>
      </c>
      <c r="H28" s="18">
        <v>0</v>
      </c>
      <c r="I28" s="18">
        <v>0</v>
      </c>
      <c r="J28" s="18">
        <v>0</v>
      </c>
      <c r="K28" s="19">
        <v>4</v>
      </c>
      <c r="L28" s="19">
        <v>0</v>
      </c>
      <c r="M28" s="19">
        <v>0</v>
      </c>
      <c r="N28" s="19">
        <v>1</v>
      </c>
      <c r="O28" s="19">
        <v>0</v>
      </c>
      <c r="P28" s="19">
        <v>-6.983</v>
      </c>
      <c r="Q28" s="19">
        <v>0</v>
      </c>
      <c r="R28" s="19">
        <v>1</v>
      </c>
    </row>
    <row r="29" ht="16.5" spans="1:18">
      <c r="A29" s="17">
        <v>26</v>
      </c>
      <c r="B29" s="17" t="s">
        <v>545</v>
      </c>
      <c r="C29" s="17">
        <v>3494.086</v>
      </c>
      <c r="D29" s="17">
        <v>3849.653</v>
      </c>
      <c r="E29" s="17">
        <v>0</v>
      </c>
      <c r="F29" s="17">
        <v>0</v>
      </c>
      <c r="G29" s="17">
        <v>1</v>
      </c>
      <c r="H29" s="18">
        <v>0</v>
      </c>
      <c r="I29" s="18">
        <v>0</v>
      </c>
      <c r="J29" s="18">
        <v>0</v>
      </c>
      <c r="K29" s="19">
        <v>3</v>
      </c>
      <c r="L29" s="19">
        <v>0</v>
      </c>
      <c r="M29" s="19">
        <v>0</v>
      </c>
      <c r="N29" s="19">
        <v>0</v>
      </c>
      <c r="O29" s="19">
        <v>0</v>
      </c>
      <c r="P29" s="19">
        <v>-2.281</v>
      </c>
      <c r="Q29" s="19">
        <v>-1</v>
      </c>
      <c r="R29" s="19">
        <v>0</v>
      </c>
    </row>
    <row r="30" ht="16.5" spans="1:18">
      <c r="A30" s="17">
        <v>27</v>
      </c>
      <c r="B30" s="17" t="s">
        <v>546</v>
      </c>
      <c r="C30" s="17">
        <v>755.159</v>
      </c>
      <c r="D30" s="17">
        <v>835.437</v>
      </c>
      <c r="E30" s="17">
        <v>0</v>
      </c>
      <c r="F30" s="17">
        <v>0</v>
      </c>
      <c r="G30" s="17">
        <v>1</v>
      </c>
      <c r="H30" s="18">
        <v>0</v>
      </c>
      <c r="I30" s="18">
        <v>0</v>
      </c>
      <c r="J30" s="18">
        <v>0</v>
      </c>
      <c r="K30" s="19">
        <v>4</v>
      </c>
      <c r="L30" s="19">
        <v>0</v>
      </c>
      <c r="M30" s="19">
        <v>0</v>
      </c>
      <c r="N30" s="19">
        <v>0</v>
      </c>
      <c r="O30" s="19">
        <v>0</v>
      </c>
      <c r="P30" s="19">
        <v>-5.144</v>
      </c>
      <c r="Q30" s="19">
        <v>0</v>
      </c>
      <c r="R30" s="19">
        <v>1</v>
      </c>
    </row>
    <row r="31" ht="16.5" spans="1:18">
      <c r="A31" s="17">
        <v>28</v>
      </c>
      <c r="B31" s="17" t="s">
        <v>547</v>
      </c>
      <c r="C31" s="17">
        <v>3050.537</v>
      </c>
      <c r="D31" s="17">
        <v>3417.913</v>
      </c>
      <c r="E31" s="17">
        <v>0</v>
      </c>
      <c r="F31" s="17">
        <v>0</v>
      </c>
      <c r="G31" s="17">
        <v>1</v>
      </c>
      <c r="H31" s="18">
        <v>0</v>
      </c>
      <c r="I31" s="18">
        <v>0</v>
      </c>
      <c r="J31" s="18">
        <v>0</v>
      </c>
      <c r="K31" s="19">
        <v>2</v>
      </c>
      <c r="L31" s="19">
        <v>0</v>
      </c>
      <c r="M31" s="19">
        <v>0</v>
      </c>
      <c r="N31" s="19">
        <v>1</v>
      </c>
      <c r="O31" s="19">
        <v>0</v>
      </c>
      <c r="P31" s="19">
        <v>-8.193</v>
      </c>
      <c r="Q31" s="19">
        <v>0</v>
      </c>
      <c r="R31" s="19">
        <v>1</v>
      </c>
    </row>
    <row r="32" ht="16.5" spans="1:18">
      <c r="A32" s="17">
        <v>29</v>
      </c>
      <c r="B32" s="17" t="s">
        <v>548</v>
      </c>
      <c r="C32" s="17">
        <v>3925.71</v>
      </c>
      <c r="D32" s="17">
        <v>4265.706</v>
      </c>
      <c r="E32" s="17">
        <v>0</v>
      </c>
      <c r="F32" s="17">
        <v>0</v>
      </c>
      <c r="G32" s="17">
        <v>1</v>
      </c>
      <c r="H32" s="18">
        <v>0</v>
      </c>
      <c r="I32" s="18">
        <v>0</v>
      </c>
      <c r="J32" s="18">
        <v>0</v>
      </c>
      <c r="K32" s="19">
        <v>1</v>
      </c>
      <c r="L32" s="19">
        <v>0</v>
      </c>
      <c r="M32" s="19">
        <v>1</v>
      </c>
      <c r="N32" s="19">
        <v>-1</v>
      </c>
      <c r="O32" s="19">
        <v>0</v>
      </c>
      <c r="P32" s="19">
        <v>-5.919</v>
      </c>
      <c r="Q32" s="19">
        <v>0</v>
      </c>
      <c r="R32" s="19">
        <v>0</v>
      </c>
    </row>
    <row r="33" ht="16.5" spans="1:18">
      <c r="A33" s="17">
        <v>30</v>
      </c>
      <c r="B33" s="17" t="s">
        <v>549</v>
      </c>
      <c r="C33" s="17">
        <v>1985.913</v>
      </c>
      <c r="D33" s="17">
        <v>2208.363</v>
      </c>
      <c r="E33" s="17">
        <v>0</v>
      </c>
      <c r="F33" s="17">
        <v>0</v>
      </c>
      <c r="G33" s="17">
        <v>1</v>
      </c>
      <c r="H33" s="18">
        <v>0</v>
      </c>
      <c r="I33" s="18">
        <v>0</v>
      </c>
      <c r="J33" s="18">
        <v>0</v>
      </c>
      <c r="K33" s="19">
        <v>1</v>
      </c>
      <c r="L33" s="19">
        <v>0</v>
      </c>
      <c r="M33" s="19">
        <v>0</v>
      </c>
      <c r="N33" s="19">
        <v>0</v>
      </c>
      <c r="O33" s="19">
        <v>0</v>
      </c>
      <c r="P33" s="19">
        <v>-5.486</v>
      </c>
      <c r="Q33" s="19">
        <v>0</v>
      </c>
      <c r="R33" s="19">
        <v>0</v>
      </c>
    </row>
    <row r="34" ht="16.5" spans="1:18">
      <c r="A34" s="17">
        <v>31</v>
      </c>
      <c r="B34" s="17" t="s">
        <v>550</v>
      </c>
      <c r="C34" s="17">
        <v>2845.336</v>
      </c>
      <c r="D34" s="17">
        <v>3105.999</v>
      </c>
      <c r="E34" s="17">
        <v>0</v>
      </c>
      <c r="F34" s="17">
        <v>0</v>
      </c>
      <c r="G34" s="17">
        <v>1</v>
      </c>
      <c r="H34" s="18">
        <v>0</v>
      </c>
      <c r="I34" s="18">
        <v>0</v>
      </c>
      <c r="J34" s="18">
        <v>0</v>
      </c>
      <c r="K34" s="19">
        <v>3</v>
      </c>
      <c r="L34" s="19">
        <v>2</v>
      </c>
      <c r="M34" s="19">
        <v>0</v>
      </c>
      <c r="N34" s="19">
        <v>-1</v>
      </c>
      <c r="O34" s="19">
        <v>0</v>
      </c>
      <c r="P34" s="19">
        <v>-11.092</v>
      </c>
      <c r="Q34" s="19">
        <v>0</v>
      </c>
      <c r="R34" s="19">
        <v>0</v>
      </c>
    </row>
    <row r="35" ht="16.5" spans="1:18">
      <c r="A35" s="17">
        <v>32</v>
      </c>
      <c r="B35" s="17" t="s">
        <v>551</v>
      </c>
      <c r="C35" s="17">
        <v>1807.949</v>
      </c>
      <c r="D35" s="17">
        <v>2094.864</v>
      </c>
      <c r="E35" s="17">
        <v>0</v>
      </c>
      <c r="F35" s="17">
        <v>0</v>
      </c>
      <c r="G35" s="17">
        <v>1</v>
      </c>
      <c r="H35" s="18">
        <v>0</v>
      </c>
      <c r="I35" s="18">
        <v>0</v>
      </c>
      <c r="J35" s="18">
        <v>0</v>
      </c>
      <c r="K35" s="19">
        <v>4</v>
      </c>
      <c r="L35" s="19">
        <v>1</v>
      </c>
      <c r="M35" s="19">
        <v>0</v>
      </c>
      <c r="N35" s="19">
        <v>1</v>
      </c>
      <c r="O35" s="19">
        <v>0</v>
      </c>
      <c r="P35" s="19">
        <v>11.088</v>
      </c>
      <c r="Q35" s="19">
        <v>0</v>
      </c>
      <c r="R35" s="19">
        <v>0</v>
      </c>
    </row>
    <row r="36" ht="16.5" spans="1:18">
      <c r="A36" s="17">
        <v>33</v>
      </c>
      <c r="B36" s="17" t="s">
        <v>552</v>
      </c>
      <c r="C36" s="17">
        <v>2175.06</v>
      </c>
      <c r="D36" s="17">
        <v>2422.394</v>
      </c>
      <c r="E36" s="17">
        <v>0</v>
      </c>
      <c r="F36" s="17">
        <v>0</v>
      </c>
      <c r="G36" s="17">
        <v>1</v>
      </c>
      <c r="H36" s="18">
        <v>0</v>
      </c>
      <c r="I36" s="18">
        <v>0</v>
      </c>
      <c r="J36" s="18">
        <v>0</v>
      </c>
      <c r="K36" s="19">
        <v>4</v>
      </c>
      <c r="L36" s="19">
        <v>0</v>
      </c>
      <c r="M36" s="19">
        <v>0</v>
      </c>
      <c r="N36" s="19">
        <v>0</v>
      </c>
      <c r="O36" s="19">
        <v>0</v>
      </c>
      <c r="P36" s="19">
        <v>-13.831</v>
      </c>
      <c r="Q36" s="19">
        <v>0</v>
      </c>
      <c r="R36" s="19">
        <v>0</v>
      </c>
    </row>
    <row r="37" ht="16.5" spans="1:18">
      <c r="A37" s="17">
        <v>34</v>
      </c>
      <c r="B37" s="17" t="s">
        <v>553</v>
      </c>
      <c r="C37" s="17">
        <v>1991.359</v>
      </c>
      <c r="D37" s="17">
        <v>2265.08</v>
      </c>
      <c r="E37" s="17">
        <v>0</v>
      </c>
      <c r="F37" s="17">
        <v>0</v>
      </c>
      <c r="G37" s="17">
        <v>1</v>
      </c>
      <c r="H37" s="18">
        <v>0</v>
      </c>
      <c r="I37" s="18">
        <v>0</v>
      </c>
      <c r="J37" s="18">
        <v>0</v>
      </c>
      <c r="K37" s="19">
        <v>4</v>
      </c>
      <c r="L37" s="19">
        <v>0</v>
      </c>
      <c r="M37" s="19">
        <v>0</v>
      </c>
      <c r="N37" s="19">
        <v>0</v>
      </c>
      <c r="O37" s="19">
        <v>0</v>
      </c>
      <c r="P37" s="19">
        <v>-9.042</v>
      </c>
      <c r="Q37" s="19">
        <v>0</v>
      </c>
      <c r="R37" s="19">
        <v>1</v>
      </c>
    </row>
    <row r="38" ht="16.5" spans="1:18">
      <c r="A38" s="17">
        <v>35</v>
      </c>
      <c r="B38" s="17" t="s">
        <v>554</v>
      </c>
      <c r="C38" s="17">
        <v>2672.854</v>
      </c>
      <c r="D38" s="17">
        <v>2926.224</v>
      </c>
      <c r="E38" s="17">
        <v>0</v>
      </c>
      <c r="F38" s="17">
        <v>0</v>
      </c>
      <c r="G38" s="17">
        <v>1</v>
      </c>
      <c r="H38" s="18">
        <v>0</v>
      </c>
      <c r="I38" s="18">
        <v>0</v>
      </c>
      <c r="J38" s="18">
        <v>0</v>
      </c>
      <c r="K38" s="19">
        <v>2</v>
      </c>
      <c r="L38" s="19">
        <v>0</v>
      </c>
      <c r="M38" s="19">
        <v>0</v>
      </c>
      <c r="N38" s="19">
        <v>-1</v>
      </c>
      <c r="O38" s="19">
        <v>0</v>
      </c>
      <c r="P38" s="19">
        <v>-4.367</v>
      </c>
      <c r="Q38" s="19">
        <v>0</v>
      </c>
      <c r="R38" s="19">
        <v>0</v>
      </c>
    </row>
    <row r="39" ht="16.5" spans="1:18">
      <c r="A39" s="17">
        <v>39</v>
      </c>
      <c r="B39" s="17" t="s">
        <v>555</v>
      </c>
      <c r="C39" s="17">
        <v>3464.405</v>
      </c>
      <c r="D39" s="17">
        <v>4300.459</v>
      </c>
      <c r="E39" s="17">
        <v>0</v>
      </c>
      <c r="F39" s="17">
        <v>0</v>
      </c>
      <c r="G39" s="17">
        <v>1</v>
      </c>
      <c r="H39" s="18">
        <v>0</v>
      </c>
      <c r="I39" s="18">
        <v>0</v>
      </c>
      <c r="J39" s="18">
        <v>0</v>
      </c>
      <c r="K39" s="19">
        <v>4</v>
      </c>
      <c r="L39" s="19">
        <v>0</v>
      </c>
      <c r="M39" s="19">
        <v>0</v>
      </c>
      <c r="N39" s="19">
        <v>1</v>
      </c>
      <c r="O39" s="19">
        <v>0</v>
      </c>
      <c r="P39" s="19">
        <v>-3.411</v>
      </c>
      <c r="Q39" s="19">
        <v>0</v>
      </c>
      <c r="R39" s="19">
        <v>0</v>
      </c>
    </row>
    <row r="40" ht="16.5" spans="1:18">
      <c r="A40" s="17">
        <v>42</v>
      </c>
      <c r="B40" s="17" t="s">
        <v>556</v>
      </c>
      <c r="C40" s="17">
        <v>1656.556</v>
      </c>
      <c r="D40" s="17">
        <v>1801.234</v>
      </c>
      <c r="E40" s="17">
        <v>0</v>
      </c>
      <c r="F40" s="17">
        <v>0</v>
      </c>
      <c r="G40" s="17">
        <v>1</v>
      </c>
      <c r="H40" s="18">
        <v>0</v>
      </c>
      <c r="I40" s="18">
        <v>0</v>
      </c>
      <c r="J40" s="18">
        <v>0</v>
      </c>
      <c r="K40" s="19">
        <v>3</v>
      </c>
      <c r="L40" s="19">
        <v>0</v>
      </c>
      <c r="M40" s="19">
        <v>0</v>
      </c>
      <c r="N40" s="19">
        <v>1</v>
      </c>
      <c r="O40" s="19">
        <v>0</v>
      </c>
      <c r="P40" s="19">
        <v>-2.391</v>
      </c>
      <c r="Q40" s="19">
        <v>0</v>
      </c>
      <c r="R40" s="19">
        <v>0</v>
      </c>
    </row>
    <row r="41" ht="16.5" spans="1:18">
      <c r="A41" s="17">
        <v>43</v>
      </c>
      <c r="B41" s="17" t="s">
        <v>478</v>
      </c>
      <c r="C41" s="17">
        <v>2010.627</v>
      </c>
      <c r="D41" s="17">
        <v>2189.725</v>
      </c>
      <c r="E41" s="17">
        <v>0</v>
      </c>
      <c r="F41" s="17">
        <v>0</v>
      </c>
      <c r="G41" s="17">
        <v>1</v>
      </c>
      <c r="H41" s="18">
        <v>0</v>
      </c>
      <c r="I41" s="18">
        <v>0</v>
      </c>
      <c r="J41" s="18">
        <v>0</v>
      </c>
      <c r="K41" s="19">
        <v>4</v>
      </c>
      <c r="L41" s="19">
        <v>0</v>
      </c>
      <c r="M41" s="19">
        <v>0</v>
      </c>
      <c r="N41" s="19">
        <v>1</v>
      </c>
      <c r="O41" s="19">
        <v>0</v>
      </c>
      <c r="P41" s="19">
        <v>-1.509</v>
      </c>
      <c r="Q41" s="19">
        <v>0</v>
      </c>
      <c r="R41" s="19">
        <v>1</v>
      </c>
    </row>
    <row r="42" ht="16.5" spans="1:18">
      <c r="A42" s="17">
        <v>44</v>
      </c>
      <c r="B42" s="17" t="s">
        <v>504</v>
      </c>
      <c r="C42" s="17">
        <v>3732.741</v>
      </c>
      <c r="D42" s="17">
        <v>4131.106</v>
      </c>
      <c r="E42" s="17">
        <v>0</v>
      </c>
      <c r="F42" s="17">
        <v>0</v>
      </c>
      <c r="G42" s="17">
        <v>1</v>
      </c>
      <c r="H42" s="18">
        <v>0</v>
      </c>
      <c r="I42" s="18">
        <v>0</v>
      </c>
      <c r="J42" s="18">
        <v>0</v>
      </c>
      <c r="K42" s="19">
        <v>4</v>
      </c>
      <c r="L42" s="19">
        <v>0</v>
      </c>
      <c r="M42" s="19">
        <v>0</v>
      </c>
      <c r="N42" s="19">
        <v>0</v>
      </c>
      <c r="O42" s="19">
        <v>0</v>
      </c>
      <c r="P42" s="19">
        <v>-2.12</v>
      </c>
      <c r="Q42" s="19">
        <v>0</v>
      </c>
      <c r="R42" s="19">
        <v>1</v>
      </c>
    </row>
    <row r="43" ht="16.5" spans="1:18">
      <c r="A43" s="17">
        <v>45</v>
      </c>
      <c r="B43" s="17" t="s">
        <v>557</v>
      </c>
      <c r="C43" s="17">
        <v>4302.963</v>
      </c>
      <c r="D43" s="17">
        <v>4958.207</v>
      </c>
      <c r="E43" s="17">
        <v>0</v>
      </c>
      <c r="F43" s="17">
        <v>0</v>
      </c>
      <c r="G43" s="17">
        <v>1</v>
      </c>
      <c r="H43" s="18">
        <v>0</v>
      </c>
      <c r="I43" s="18">
        <v>0</v>
      </c>
      <c r="J43" s="18">
        <v>0</v>
      </c>
      <c r="K43" s="19">
        <v>3</v>
      </c>
      <c r="L43" s="19">
        <v>0</v>
      </c>
      <c r="M43" s="19">
        <v>0</v>
      </c>
      <c r="N43" s="19">
        <v>0</v>
      </c>
      <c r="O43" s="19">
        <v>0</v>
      </c>
      <c r="P43" s="19">
        <v>-9.596</v>
      </c>
      <c r="Q43" s="19">
        <v>0</v>
      </c>
      <c r="R43" s="19">
        <v>1</v>
      </c>
    </row>
    <row r="44" ht="16.5" spans="1:18">
      <c r="A44" s="17">
        <v>46</v>
      </c>
      <c r="B44" s="17" t="s">
        <v>558</v>
      </c>
      <c r="C44" s="17">
        <v>4021.984</v>
      </c>
      <c r="D44" s="17">
        <v>4525.461</v>
      </c>
      <c r="E44" s="17">
        <v>0</v>
      </c>
      <c r="F44" s="17">
        <v>0</v>
      </c>
      <c r="G44" s="17">
        <v>1</v>
      </c>
      <c r="H44" s="18">
        <v>0</v>
      </c>
      <c r="I44" s="18">
        <v>0</v>
      </c>
      <c r="J44" s="18">
        <v>0</v>
      </c>
      <c r="K44" s="19">
        <v>3</v>
      </c>
      <c r="L44" s="19">
        <v>0</v>
      </c>
      <c r="M44" s="19">
        <v>0</v>
      </c>
      <c r="N44" s="19">
        <v>0</v>
      </c>
      <c r="O44" s="19">
        <v>0</v>
      </c>
      <c r="P44" s="19">
        <v>-19.302</v>
      </c>
      <c r="Q44" s="19">
        <v>0</v>
      </c>
      <c r="R44" s="19">
        <v>1</v>
      </c>
    </row>
    <row r="45" ht="16.5" spans="1:18">
      <c r="A45" s="17">
        <v>47</v>
      </c>
      <c r="B45" s="17" t="s">
        <v>559</v>
      </c>
      <c r="C45" s="17">
        <v>3186.84</v>
      </c>
      <c r="D45" s="17">
        <v>3527.376</v>
      </c>
      <c r="E45" s="17">
        <v>0</v>
      </c>
      <c r="F45" s="17">
        <v>0</v>
      </c>
      <c r="G45" s="17">
        <v>1</v>
      </c>
      <c r="H45" s="18">
        <v>0</v>
      </c>
      <c r="I45" s="18">
        <v>0</v>
      </c>
      <c r="J45" s="18">
        <v>0</v>
      </c>
      <c r="K45" s="19">
        <v>3</v>
      </c>
      <c r="L45" s="19">
        <v>0</v>
      </c>
      <c r="M45" s="19">
        <v>0</v>
      </c>
      <c r="N45" s="19">
        <v>0</v>
      </c>
      <c r="O45" s="19">
        <v>0</v>
      </c>
      <c r="P45" s="19">
        <v>-13.73</v>
      </c>
      <c r="Q45" s="19">
        <v>0</v>
      </c>
      <c r="R45" s="19">
        <v>1</v>
      </c>
    </row>
    <row r="46" ht="16.5" spans="1:18">
      <c r="A46" s="17">
        <v>48</v>
      </c>
      <c r="B46" s="17" t="s">
        <v>560</v>
      </c>
      <c r="C46" s="17">
        <v>1319.825</v>
      </c>
      <c r="D46" s="17">
        <v>1440.759</v>
      </c>
      <c r="E46" s="17">
        <v>0</v>
      </c>
      <c r="F46" s="17">
        <v>0</v>
      </c>
      <c r="G46" s="17">
        <v>1</v>
      </c>
      <c r="H46" s="18">
        <v>0</v>
      </c>
      <c r="I46" s="18">
        <v>0</v>
      </c>
      <c r="J46" s="18">
        <v>0</v>
      </c>
      <c r="K46" s="19">
        <v>3</v>
      </c>
      <c r="L46" s="19">
        <v>0</v>
      </c>
      <c r="M46" s="19">
        <v>0</v>
      </c>
      <c r="N46" s="19">
        <v>0</v>
      </c>
      <c r="O46" s="19">
        <v>0</v>
      </c>
      <c r="P46" s="19">
        <v>-6.975</v>
      </c>
      <c r="Q46" s="19">
        <v>0</v>
      </c>
      <c r="R46" s="19">
        <v>1</v>
      </c>
    </row>
    <row r="47" ht="16.5" spans="1:18">
      <c r="A47" s="17">
        <v>49</v>
      </c>
      <c r="B47" s="17" t="s">
        <v>561</v>
      </c>
      <c r="C47" s="17">
        <v>1494.225</v>
      </c>
      <c r="D47" s="17">
        <v>1718.99</v>
      </c>
      <c r="E47" s="17">
        <v>0</v>
      </c>
      <c r="F47" s="17">
        <v>0</v>
      </c>
      <c r="G47" s="17">
        <v>1</v>
      </c>
      <c r="H47" s="18">
        <v>0</v>
      </c>
      <c r="I47" s="18">
        <v>0</v>
      </c>
      <c r="J47" s="18">
        <v>0</v>
      </c>
      <c r="K47" s="19">
        <v>4</v>
      </c>
      <c r="L47" s="19">
        <v>0</v>
      </c>
      <c r="M47" s="19">
        <v>0</v>
      </c>
      <c r="N47" s="19">
        <v>0</v>
      </c>
      <c r="O47" s="19">
        <v>0</v>
      </c>
      <c r="P47" s="19">
        <v>-2.264</v>
      </c>
      <c r="Q47" s="19">
        <v>0</v>
      </c>
      <c r="R47" s="19">
        <v>1</v>
      </c>
    </row>
    <row r="48" ht="16.5" spans="1:18">
      <c r="A48" s="17">
        <v>50</v>
      </c>
      <c r="B48" s="17" t="s">
        <v>562</v>
      </c>
      <c r="C48" s="17">
        <v>1986.256</v>
      </c>
      <c r="D48" s="17">
        <v>2179.73</v>
      </c>
      <c r="E48" s="17">
        <v>0</v>
      </c>
      <c r="F48" s="17">
        <v>0</v>
      </c>
      <c r="G48" s="17">
        <v>1</v>
      </c>
      <c r="H48" s="18">
        <v>0</v>
      </c>
      <c r="I48" s="18">
        <v>0</v>
      </c>
      <c r="J48" s="18">
        <v>0</v>
      </c>
      <c r="K48" s="19">
        <v>3</v>
      </c>
      <c r="L48" s="19">
        <v>0</v>
      </c>
      <c r="M48" s="19">
        <v>0</v>
      </c>
      <c r="N48" s="19">
        <v>0</v>
      </c>
      <c r="O48" s="19">
        <v>0</v>
      </c>
      <c r="P48" s="19">
        <v>-2.457</v>
      </c>
      <c r="Q48" s="19">
        <v>0</v>
      </c>
      <c r="R48" s="19">
        <v>0</v>
      </c>
    </row>
    <row r="49" ht="16.5" spans="1:18">
      <c r="A49" s="17">
        <v>51</v>
      </c>
      <c r="B49" s="17" t="s">
        <v>563</v>
      </c>
      <c r="C49" s="17">
        <v>7692.464</v>
      </c>
      <c r="D49" s="17">
        <v>8542.929</v>
      </c>
      <c r="E49" s="17">
        <v>0</v>
      </c>
      <c r="F49" s="17">
        <v>0</v>
      </c>
      <c r="G49" s="17">
        <v>1</v>
      </c>
      <c r="H49" s="18">
        <v>0</v>
      </c>
      <c r="I49" s="18">
        <v>0</v>
      </c>
      <c r="J49" s="18">
        <v>0</v>
      </c>
      <c r="K49" s="19">
        <v>3</v>
      </c>
      <c r="L49" s="19">
        <v>0</v>
      </c>
      <c r="M49" s="19">
        <v>0</v>
      </c>
      <c r="N49" s="19">
        <v>0</v>
      </c>
      <c r="O49" s="19">
        <v>0</v>
      </c>
      <c r="P49" s="19">
        <v>-2.393</v>
      </c>
      <c r="Q49" s="19">
        <v>0</v>
      </c>
      <c r="R49" s="19">
        <v>0</v>
      </c>
    </row>
    <row r="50" ht="16.5" spans="1:18">
      <c r="A50" s="17">
        <v>52</v>
      </c>
      <c r="B50" s="17" t="s">
        <v>564</v>
      </c>
      <c r="C50" s="17">
        <v>2631.368</v>
      </c>
      <c r="D50" s="17">
        <v>2863.304</v>
      </c>
      <c r="E50" s="17">
        <v>0</v>
      </c>
      <c r="F50" s="17">
        <v>0</v>
      </c>
      <c r="G50" s="17">
        <v>1</v>
      </c>
      <c r="H50" s="18">
        <v>0</v>
      </c>
      <c r="I50" s="18">
        <v>0</v>
      </c>
      <c r="J50" s="18">
        <v>0</v>
      </c>
      <c r="K50" s="19">
        <v>3</v>
      </c>
      <c r="L50" s="19">
        <v>0</v>
      </c>
      <c r="M50" s="19">
        <v>0</v>
      </c>
      <c r="N50" s="19">
        <v>0</v>
      </c>
      <c r="O50" s="19">
        <v>0</v>
      </c>
      <c r="P50" s="19">
        <v>-18.146</v>
      </c>
      <c r="Q50" s="19">
        <v>0</v>
      </c>
      <c r="R50" s="19">
        <v>1</v>
      </c>
    </row>
    <row r="51" ht="16.5" spans="1:18">
      <c r="A51" s="17">
        <v>53</v>
      </c>
      <c r="B51" s="17" t="s">
        <v>565</v>
      </c>
      <c r="C51" s="17">
        <v>10911.678</v>
      </c>
      <c r="D51" s="17">
        <v>11924.541</v>
      </c>
      <c r="E51" s="17">
        <v>0</v>
      </c>
      <c r="F51" s="17">
        <v>0</v>
      </c>
      <c r="G51" s="17">
        <v>1</v>
      </c>
      <c r="H51" s="18">
        <v>0</v>
      </c>
      <c r="I51" s="18">
        <v>0</v>
      </c>
      <c r="J51" s="18">
        <v>0</v>
      </c>
      <c r="K51" s="19">
        <v>4</v>
      </c>
      <c r="L51" s="19">
        <v>0</v>
      </c>
      <c r="M51" s="19">
        <v>0</v>
      </c>
      <c r="N51" s="19">
        <v>0</v>
      </c>
      <c r="O51" s="19">
        <v>0</v>
      </c>
      <c r="P51" s="19">
        <v>-3.171</v>
      </c>
      <c r="Q51" s="19">
        <v>0</v>
      </c>
      <c r="R51" s="19">
        <v>1</v>
      </c>
    </row>
    <row r="52" ht="16.5" spans="1:18">
      <c r="A52" s="17">
        <v>54</v>
      </c>
      <c r="B52" s="17" t="s">
        <v>566</v>
      </c>
      <c r="C52" s="17">
        <v>1302.319</v>
      </c>
      <c r="D52" s="17">
        <v>1425.624</v>
      </c>
      <c r="E52" s="17">
        <v>0</v>
      </c>
      <c r="F52" s="17">
        <v>0</v>
      </c>
      <c r="G52" s="17">
        <v>1</v>
      </c>
      <c r="H52" s="18">
        <v>0</v>
      </c>
      <c r="I52" s="18">
        <v>0</v>
      </c>
      <c r="J52" s="18">
        <v>0</v>
      </c>
      <c r="K52" s="19">
        <v>4</v>
      </c>
      <c r="L52" s="19">
        <v>0</v>
      </c>
      <c r="M52" s="19">
        <v>0</v>
      </c>
      <c r="N52" s="19">
        <v>0</v>
      </c>
      <c r="O52" s="19">
        <v>0</v>
      </c>
      <c r="P52" s="19">
        <v>-20.931</v>
      </c>
      <c r="Q52" s="19">
        <v>0</v>
      </c>
      <c r="R52" s="19">
        <v>1</v>
      </c>
    </row>
    <row r="53" ht="16.5" spans="1:18">
      <c r="A53" s="17">
        <v>55</v>
      </c>
      <c r="B53" s="17" t="s">
        <v>567</v>
      </c>
      <c r="C53" s="17">
        <v>1294.925</v>
      </c>
      <c r="D53" s="17">
        <v>1428.783</v>
      </c>
      <c r="E53" s="17">
        <v>0</v>
      </c>
      <c r="F53" s="17">
        <v>0</v>
      </c>
      <c r="G53" s="17">
        <v>1</v>
      </c>
      <c r="H53" s="18">
        <v>0</v>
      </c>
      <c r="I53" s="18">
        <v>0</v>
      </c>
      <c r="J53" s="18">
        <v>0</v>
      </c>
      <c r="K53" s="19">
        <v>3</v>
      </c>
      <c r="L53" s="19">
        <v>0</v>
      </c>
      <c r="M53" s="19">
        <v>0</v>
      </c>
      <c r="N53" s="19">
        <v>0</v>
      </c>
      <c r="O53" s="19">
        <v>0</v>
      </c>
      <c r="P53" s="19">
        <v>-2.528</v>
      </c>
      <c r="Q53" s="19">
        <v>0</v>
      </c>
      <c r="R53" s="19">
        <v>0</v>
      </c>
    </row>
    <row r="54" ht="16.5" spans="1:18">
      <c r="A54" s="17">
        <v>56</v>
      </c>
      <c r="B54" s="17" t="s">
        <v>568</v>
      </c>
      <c r="C54" s="17">
        <v>1067.404</v>
      </c>
      <c r="D54" s="17">
        <v>1148.929</v>
      </c>
      <c r="E54" s="17">
        <v>0</v>
      </c>
      <c r="F54" s="17">
        <v>0</v>
      </c>
      <c r="G54" s="17">
        <v>1</v>
      </c>
      <c r="H54" s="18">
        <v>0</v>
      </c>
      <c r="I54" s="18">
        <v>0</v>
      </c>
      <c r="J54" s="18">
        <v>0</v>
      </c>
      <c r="K54" s="19">
        <v>4</v>
      </c>
      <c r="L54" s="19">
        <v>0</v>
      </c>
      <c r="M54" s="19">
        <v>0</v>
      </c>
      <c r="N54" s="19">
        <v>0</v>
      </c>
      <c r="O54" s="19">
        <v>0</v>
      </c>
      <c r="P54" s="19">
        <v>-2.798</v>
      </c>
      <c r="Q54" s="19">
        <v>0</v>
      </c>
      <c r="R54" s="19">
        <v>1</v>
      </c>
    </row>
    <row r="55" ht="16.5" spans="1:18">
      <c r="A55" s="17">
        <v>57</v>
      </c>
      <c r="B55" s="17" t="s">
        <v>569</v>
      </c>
      <c r="C55" s="17">
        <v>3103.768</v>
      </c>
      <c r="D55" s="17">
        <v>3479.046</v>
      </c>
      <c r="E55" s="17">
        <v>0</v>
      </c>
      <c r="F55" s="17">
        <v>0</v>
      </c>
      <c r="G55" s="17">
        <v>1</v>
      </c>
      <c r="H55" s="18">
        <v>0</v>
      </c>
      <c r="I55" s="18">
        <v>0</v>
      </c>
      <c r="J55" s="18">
        <v>0</v>
      </c>
      <c r="K55" s="19">
        <v>4</v>
      </c>
      <c r="L55" s="19">
        <v>0</v>
      </c>
      <c r="M55" s="19">
        <v>0</v>
      </c>
      <c r="N55" s="19">
        <v>1</v>
      </c>
      <c r="O55" s="19">
        <v>0</v>
      </c>
      <c r="P55" s="19">
        <v>-1.345</v>
      </c>
      <c r="Q55" s="19">
        <v>0</v>
      </c>
      <c r="R55" s="19">
        <v>1</v>
      </c>
    </row>
    <row r="56" ht="16.5" spans="1:18">
      <c r="A56" s="17">
        <v>58</v>
      </c>
      <c r="B56" s="17" t="s">
        <v>570</v>
      </c>
      <c r="C56" s="17">
        <v>4096.52</v>
      </c>
      <c r="D56" s="17">
        <v>4460.836</v>
      </c>
      <c r="E56" s="17">
        <v>0</v>
      </c>
      <c r="F56" s="17">
        <v>0</v>
      </c>
      <c r="G56" s="17">
        <v>1</v>
      </c>
      <c r="H56" s="18">
        <v>0</v>
      </c>
      <c r="I56" s="18">
        <v>0</v>
      </c>
      <c r="J56" s="18">
        <v>0</v>
      </c>
      <c r="K56" s="19">
        <v>3</v>
      </c>
      <c r="L56" s="19">
        <v>0</v>
      </c>
      <c r="M56" s="19">
        <v>0</v>
      </c>
      <c r="N56" s="19">
        <v>0</v>
      </c>
      <c r="O56" s="19">
        <v>0</v>
      </c>
      <c r="P56" s="19">
        <v>-5.731</v>
      </c>
      <c r="Q56" s="19">
        <v>0</v>
      </c>
      <c r="R56" s="19">
        <v>0</v>
      </c>
    </row>
    <row r="57" ht="16.5" spans="1:18">
      <c r="A57" s="17">
        <v>59</v>
      </c>
      <c r="B57" s="17" t="s">
        <v>571</v>
      </c>
      <c r="C57" s="17">
        <v>2566.194</v>
      </c>
      <c r="D57" s="17">
        <v>2893.032</v>
      </c>
      <c r="E57" s="17">
        <v>0</v>
      </c>
      <c r="F57" s="17">
        <v>0</v>
      </c>
      <c r="G57" s="17">
        <v>1</v>
      </c>
      <c r="H57" s="18">
        <v>0</v>
      </c>
      <c r="I57" s="18">
        <v>0</v>
      </c>
      <c r="J57" s="18">
        <v>0</v>
      </c>
      <c r="K57" s="19">
        <v>4</v>
      </c>
      <c r="L57" s="19">
        <v>0</v>
      </c>
      <c r="M57" s="19">
        <v>0</v>
      </c>
      <c r="N57" s="19">
        <v>1</v>
      </c>
      <c r="O57" s="19">
        <v>0</v>
      </c>
      <c r="P57" s="19">
        <v>-9.567</v>
      </c>
      <c r="Q57" s="19">
        <v>0</v>
      </c>
      <c r="R57" s="19">
        <v>1</v>
      </c>
    </row>
    <row r="58" ht="16.5" spans="1:18">
      <c r="A58" s="17">
        <v>60</v>
      </c>
      <c r="B58" s="17" t="s">
        <v>572</v>
      </c>
      <c r="C58" s="17">
        <v>3760.138</v>
      </c>
      <c r="D58" s="17">
        <v>4140.049</v>
      </c>
      <c r="E58" s="17">
        <v>0</v>
      </c>
      <c r="F58" s="17">
        <v>0</v>
      </c>
      <c r="G58" s="17">
        <v>1</v>
      </c>
      <c r="H58" s="18">
        <v>0</v>
      </c>
      <c r="I58" s="18">
        <v>0</v>
      </c>
      <c r="J58" s="18">
        <v>0</v>
      </c>
      <c r="K58" s="19">
        <v>3</v>
      </c>
      <c r="L58" s="19">
        <v>0</v>
      </c>
      <c r="M58" s="19">
        <v>0</v>
      </c>
      <c r="N58" s="19">
        <v>0</v>
      </c>
      <c r="O58" s="19">
        <v>0</v>
      </c>
      <c r="P58" s="19">
        <v>-5.005</v>
      </c>
      <c r="Q58" s="19">
        <v>0</v>
      </c>
      <c r="R58" s="19">
        <v>0</v>
      </c>
    </row>
    <row r="59" ht="16.5" spans="1:18">
      <c r="A59" s="17">
        <v>62</v>
      </c>
      <c r="B59" s="17" t="s">
        <v>573</v>
      </c>
      <c r="C59" s="17">
        <v>1749.672</v>
      </c>
      <c r="D59" s="17">
        <v>1963.766</v>
      </c>
      <c r="E59" s="17">
        <v>0</v>
      </c>
      <c r="F59" s="17">
        <v>0</v>
      </c>
      <c r="G59" s="17">
        <v>1</v>
      </c>
      <c r="H59" s="18">
        <v>0</v>
      </c>
      <c r="I59" s="18">
        <v>0</v>
      </c>
      <c r="J59" s="18">
        <v>0</v>
      </c>
      <c r="K59" s="19">
        <v>4</v>
      </c>
      <c r="L59" s="19">
        <v>0</v>
      </c>
      <c r="M59" s="19">
        <v>0</v>
      </c>
      <c r="N59" s="19">
        <v>0</v>
      </c>
      <c r="O59" s="19">
        <v>0</v>
      </c>
      <c r="P59" s="19">
        <v>-9.027</v>
      </c>
      <c r="Q59" s="19">
        <v>0</v>
      </c>
      <c r="R59" s="19">
        <v>1</v>
      </c>
    </row>
    <row r="60" ht="16.5" spans="1:18">
      <c r="A60" s="17">
        <v>63</v>
      </c>
      <c r="B60" s="17" t="s">
        <v>574</v>
      </c>
      <c r="C60" s="17">
        <v>3259.782</v>
      </c>
      <c r="D60" s="17">
        <v>3547.04</v>
      </c>
      <c r="E60" s="17">
        <v>0</v>
      </c>
      <c r="F60" s="17">
        <v>0</v>
      </c>
      <c r="G60" s="17">
        <v>1</v>
      </c>
      <c r="H60" s="18">
        <v>0</v>
      </c>
      <c r="I60" s="18">
        <v>0</v>
      </c>
      <c r="J60" s="18">
        <v>0</v>
      </c>
      <c r="K60" s="19">
        <v>2</v>
      </c>
      <c r="L60" s="19">
        <v>0</v>
      </c>
      <c r="M60" s="19">
        <v>-1</v>
      </c>
      <c r="N60" s="19">
        <v>1</v>
      </c>
      <c r="O60" s="19">
        <v>0</v>
      </c>
      <c r="P60" s="19">
        <v>0.08</v>
      </c>
      <c r="Q60" s="19">
        <v>0</v>
      </c>
      <c r="R60" s="19">
        <v>0</v>
      </c>
    </row>
    <row r="61" ht="16.5" spans="1:18">
      <c r="A61" s="17">
        <v>64</v>
      </c>
      <c r="B61" s="17" t="s">
        <v>575</v>
      </c>
      <c r="C61" s="17">
        <v>2978.034</v>
      </c>
      <c r="D61" s="17">
        <v>3310.958</v>
      </c>
      <c r="E61" s="17">
        <v>0</v>
      </c>
      <c r="F61" s="17">
        <v>0</v>
      </c>
      <c r="G61" s="17">
        <v>1</v>
      </c>
      <c r="H61" s="18">
        <v>0</v>
      </c>
      <c r="I61" s="18">
        <v>0</v>
      </c>
      <c r="J61" s="18">
        <v>0</v>
      </c>
      <c r="K61" s="19">
        <v>4</v>
      </c>
      <c r="L61" s="19">
        <v>0</v>
      </c>
      <c r="M61" s="19">
        <v>0</v>
      </c>
      <c r="N61" s="19">
        <v>0</v>
      </c>
      <c r="O61" s="19">
        <v>0</v>
      </c>
      <c r="P61" s="19">
        <v>-6.756</v>
      </c>
      <c r="Q61" s="19">
        <v>0</v>
      </c>
      <c r="R61" s="19">
        <v>0</v>
      </c>
    </row>
    <row r="62" ht="16.5" spans="1:18">
      <c r="A62" s="17">
        <v>65</v>
      </c>
      <c r="B62" s="17" t="s">
        <v>576</v>
      </c>
      <c r="C62" s="17">
        <v>3048.815</v>
      </c>
      <c r="D62" s="17">
        <v>3425.838</v>
      </c>
      <c r="E62" s="17">
        <v>0</v>
      </c>
      <c r="F62" s="17">
        <v>0</v>
      </c>
      <c r="G62" s="17">
        <v>1</v>
      </c>
      <c r="H62" s="18">
        <v>0</v>
      </c>
      <c r="I62" s="18">
        <v>0</v>
      </c>
      <c r="J62" s="18">
        <v>0</v>
      </c>
      <c r="K62" s="19">
        <v>4</v>
      </c>
      <c r="L62" s="19">
        <v>0</v>
      </c>
      <c r="M62" s="19">
        <v>0</v>
      </c>
      <c r="N62" s="19">
        <v>0</v>
      </c>
      <c r="O62" s="19">
        <v>0</v>
      </c>
      <c r="P62" s="19">
        <v>-5.714</v>
      </c>
      <c r="Q62" s="19">
        <v>0</v>
      </c>
      <c r="R62" s="19">
        <v>1</v>
      </c>
    </row>
    <row r="63" ht="16.5" spans="1:18">
      <c r="A63" s="17">
        <v>66</v>
      </c>
      <c r="B63" s="17" t="s">
        <v>577</v>
      </c>
      <c r="C63" s="17">
        <v>2443.635</v>
      </c>
      <c r="D63" s="17">
        <v>2734.063</v>
      </c>
      <c r="E63" s="17">
        <v>0</v>
      </c>
      <c r="F63" s="17">
        <v>0</v>
      </c>
      <c r="G63" s="17">
        <v>1</v>
      </c>
      <c r="H63" s="18">
        <v>0</v>
      </c>
      <c r="I63" s="18">
        <v>0</v>
      </c>
      <c r="J63" s="18">
        <v>0</v>
      </c>
      <c r="K63" s="19">
        <v>3</v>
      </c>
      <c r="L63" s="19">
        <v>0</v>
      </c>
      <c r="M63" s="19">
        <v>0</v>
      </c>
      <c r="N63" s="19">
        <v>0</v>
      </c>
      <c r="O63" s="19">
        <v>0</v>
      </c>
      <c r="P63" s="19">
        <v>-2.932</v>
      </c>
      <c r="Q63" s="19">
        <v>0</v>
      </c>
      <c r="R63" s="19">
        <v>0</v>
      </c>
    </row>
    <row r="64" ht="16.5" spans="1:18">
      <c r="A64" s="17">
        <v>67</v>
      </c>
      <c r="B64" s="17" t="s">
        <v>578</v>
      </c>
      <c r="C64" s="17">
        <v>6478.172</v>
      </c>
      <c r="D64" s="17">
        <v>7394.368</v>
      </c>
      <c r="E64" s="17">
        <v>0</v>
      </c>
      <c r="F64" s="17">
        <v>0</v>
      </c>
      <c r="G64" s="17">
        <v>1</v>
      </c>
      <c r="H64" s="18">
        <v>0</v>
      </c>
      <c r="I64" s="18">
        <v>0</v>
      </c>
      <c r="J64" s="18">
        <v>0</v>
      </c>
      <c r="K64" s="19">
        <v>3</v>
      </c>
      <c r="L64" s="19">
        <v>0</v>
      </c>
      <c r="M64" s="19">
        <v>0</v>
      </c>
      <c r="N64" s="19">
        <v>0</v>
      </c>
      <c r="O64" s="19">
        <v>0</v>
      </c>
      <c r="P64" s="19">
        <v>-5.846</v>
      </c>
      <c r="Q64" s="19">
        <v>0</v>
      </c>
      <c r="R64" s="19">
        <v>1</v>
      </c>
    </row>
    <row r="65" ht="16.5" spans="1:18">
      <c r="A65" s="17">
        <v>68</v>
      </c>
      <c r="B65" s="17" t="s">
        <v>579</v>
      </c>
      <c r="C65" s="17">
        <v>2642.423</v>
      </c>
      <c r="D65" s="17">
        <v>2923.107</v>
      </c>
      <c r="E65" s="17">
        <v>0</v>
      </c>
      <c r="F65" s="17">
        <v>0</v>
      </c>
      <c r="G65" s="17">
        <v>1</v>
      </c>
      <c r="H65" s="18">
        <v>0</v>
      </c>
      <c r="I65" s="18">
        <v>0</v>
      </c>
      <c r="J65" s="18">
        <v>0</v>
      </c>
      <c r="K65" s="19">
        <v>1</v>
      </c>
      <c r="L65" s="19">
        <v>0</v>
      </c>
      <c r="M65" s="19">
        <v>0</v>
      </c>
      <c r="N65" s="19">
        <v>-1</v>
      </c>
      <c r="O65" s="19">
        <v>0</v>
      </c>
      <c r="P65" s="19">
        <v>-8.749</v>
      </c>
      <c r="Q65" s="19">
        <v>0</v>
      </c>
      <c r="R65" s="19">
        <v>0</v>
      </c>
    </row>
    <row r="66" ht="16.5" spans="1:18">
      <c r="A66" s="17">
        <v>70</v>
      </c>
      <c r="B66" s="17" t="s">
        <v>580</v>
      </c>
      <c r="C66" s="17">
        <v>2563.745</v>
      </c>
      <c r="D66" s="17">
        <v>2965.332</v>
      </c>
      <c r="E66" s="17">
        <v>0</v>
      </c>
      <c r="F66" s="17">
        <v>0</v>
      </c>
      <c r="G66" s="17">
        <v>1</v>
      </c>
      <c r="H66" s="18">
        <v>0</v>
      </c>
      <c r="I66" s="18">
        <v>0</v>
      </c>
      <c r="J66" s="18">
        <v>0</v>
      </c>
      <c r="K66" s="19">
        <v>2</v>
      </c>
      <c r="L66" s="19">
        <v>0</v>
      </c>
      <c r="M66" s="19">
        <v>0</v>
      </c>
      <c r="N66" s="19">
        <v>-1</v>
      </c>
      <c r="O66" s="19">
        <v>0</v>
      </c>
      <c r="P66" s="19">
        <v>-13.554</v>
      </c>
      <c r="Q66" s="19">
        <v>0</v>
      </c>
      <c r="R66" s="19">
        <v>0</v>
      </c>
    </row>
    <row r="67" ht="16.5" spans="1:18">
      <c r="A67" s="17">
        <v>71</v>
      </c>
      <c r="B67" s="17" t="s">
        <v>581</v>
      </c>
      <c r="C67" s="17">
        <v>2910.902</v>
      </c>
      <c r="D67" s="17">
        <v>3246.577</v>
      </c>
      <c r="E67" s="17">
        <v>0</v>
      </c>
      <c r="F67" s="17">
        <v>0</v>
      </c>
      <c r="G67" s="17">
        <v>1</v>
      </c>
      <c r="H67" s="18">
        <v>0</v>
      </c>
      <c r="I67" s="18">
        <v>0</v>
      </c>
      <c r="J67" s="18">
        <v>0</v>
      </c>
      <c r="K67" s="19">
        <v>1</v>
      </c>
      <c r="L67" s="19">
        <v>0</v>
      </c>
      <c r="M67" s="19">
        <v>0</v>
      </c>
      <c r="N67" s="19">
        <v>-1</v>
      </c>
      <c r="O67" s="19">
        <v>0</v>
      </c>
      <c r="P67" s="19">
        <v>-7.43</v>
      </c>
      <c r="Q67" s="19">
        <v>0</v>
      </c>
      <c r="R67" s="19">
        <v>0</v>
      </c>
    </row>
    <row r="68" ht="16.5" spans="1:18">
      <c r="A68" s="17">
        <v>72</v>
      </c>
      <c r="B68" s="17" t="s">
        <v>582</v>
      </c>
      <c r="C68" s="17">
        <v>2617.013</v>
      </c>
      <c r="D68" s="17">
        <v>2959.926</v>
      </c>
      <c r="E68" s="17">
        <v>0</v>
      </c>
      <c r="F68" s="17">
        <v>0</v>
      </c>
      <c r="G68" s="17">
        <v>1</v>
      </c>
      <c r="H68" s="18">
        <v>0</v>
      </c>
      <c r="I68" s="18">
        <v>0</v>
      </c>
      <c r="J68" s="18">
        <v>0</v>
      </c>
      <c r="K68" s="19">
        <v>4</v>
      </c>
      <c r="L68" s="19">
        <v>1</v>
      </c>
      <c r="M68" s="19">
        <v>0</v>
      </c>
      <c r="N68" s="19">
        <v>1</v>
      </c>
      <c r="O68" s="19">
        <v>0</v>
      </c>
      <c r="P68" s="19">
        <v>-7.636</v>
      </c>
      <c r="Q68" s="19">
        <v>0</v>
      </c>
      <c r="R68" s="19">
        <v>0</v>
      </c>
    </row>
    <row r="69" ht="16.5" spans="1:18">
      <c r="A69" s="17">
        <v>73</v>
      </c>
      <c r="B69" s="17" t="s">
        <v>583</v>
      </c>
      <c r="C69" s="17">
        <v>2956.6</v>
      </c>
      <c r="D69" s="17">
        <v>3334.564</v>
      </c>
      <c r="E69" s="17">
        <v>0</v>
      </c>
      <c r="F69" s="17">
        <v>0</v>
      </c>
      <c r="G69" s="17">
        <v>1</v>
      </c>
      <c r="H69" s="18">
        <v>0</v>
      </c>
      <c r="I69" s="18">
        <v>0</v>
      </c>
      <c r="J69" s="18">
        <v>0</v>
      </c>
      <c r="K69" s="19">
        <v>2</v>
      </c>
      <c r="L69" s="19">
        <v>0</v>
      </c>
      <c r="M69" s="19">
        <v>0</v>
      </c>
      <c r="N69" s="19">
        <v>0</v>
      </c>
      <c r="O69" s="19">
        <v>0</v>
      </c>
      <c r="P69" s="19">
        <v>-16.309</v>
      </c>
      <c r="Q69" s="19">
        <v>0</v>
      </c>
      <c r="R69" s="19">
        <v>0</v>
      </c>
    </row>
    <row r="70" ht="16.5" spans="1:18">
      <c r="A70" s="17">
        <v>90</v>
      </c>
      <c r="B70" s="17" t="s">
        <v>584</v>
      </c>
      <c r="C70" s="17">
        <v>1125.831</v>
      </c>
      <c r="D70" s="17">
        <v>1266.638</v>
      </c>
      <c r="E70" s="17">
        <v>0</v>
      </c>
      <c r="F70" s="17">
        <v>0</v>
      </c>
      <c r="G70" s="17">
        <v>1</v>
      </c>
      <c r="H70" s="18">
        <v>0</v>
      </c>
      <c r="I70" s="18">
        <v>0</v>
      </c>
      <c r="J70" s="18">
        <v>0</v>
      </c>
      <c r="K70" s="19">
        <v>2</v>
      </c>
      <c r="L70" s="19">
        <v>0</v>
      </c>
      <c r="M70" s="19">
        <v>0</v>
      </c>
      <c r="N70" s="19">
        <v>-1</v>
      </c>
      <c r="O70" s="19">
        <v>0</v>
      </c>
      <c r="P70" s="19">
        <v>-8.897</v>
      </c>
      <c r="Q70" s="19">
        <v>0</v>
      </c>
      <c r="R70" s="19">
        <v>0</v>
      </c>
    </row>
    <row r="71" ht="16.5" spans="1:18">
      <c r="A71" s="17">
        <v>92</v>
      </c>
      <c r="B71" s="17" t="s">
        <v>585</v>
      </c>
      <c r="C71" s="17">
        <v>3270.069</v>
      </c>
      <c r="D71" s="17">
        <v>3595.197</v>
      </c>
      <c r="E71" s="17">
        <v>0</v>
      </c>
      <c r="F71" s="17">
        <v>0</v>
      </c>
      <c r="G71" s="17">
        <v>1</v>
      </c>
      <c r="H71" s="18">
        <v>0</v>
      </c>
      <c r="I71" s="18">
        <v>0</v>
      </c>
      <c r="J71" s="18">
        <v>0</v>
      </c>
      <c r="K71" s="19">
        <v>1</v>
      </c>
      <c r="L71" s="19">
        <v>0</v>
      </c>
      <c r="M71" s="19">
        <v>0</v>
      </c>
      <c r="N71" s="19">
        <v>0</v>
      </c>
      <c r="O71" s="19">
        <v>0</v>
      </c>
      <c r="P71" s="19">
        <v>-9.266</v>
      </c>
      <c r="Q71" s="19">
        <v>0</v>
      </c>
      <c r="R71" s="19">
        <v>0</v>
      </c>
    </row>
    <row r="72" ht="16.5" spans="1:18">
      <c r="A72" s="17">
        <v>93</v>
      </c>
      <c r="B72" s="17" t="s">
        <v>586</v>
      </c>
      <c r="C72" s="17">
        <v>10592.663</v>
      </c>
      <c r="D72" s="17">
        <v>11766.89</v>
      </c>
      <c r="E72" s="17">
        <v>0</v>
      </c>
      <c r="F72" s="17">
        <v>0</v>
      </c>
      <c r="G72" s="17">
        <v>1</v>
      </c>
      <c r="H72" s="18">
        <v>0</v>
      </c>
      <c r="I72" s="18">
        <v>0</v>
      </c>
      <c r="J72" s="18">
        <v>0</v>
      </c>
      <c r="K72" s="19">
        <v>3</v>
      </c>
      <c r="L72" s="19">
        <v>2</v>
      </c>
      <c r="M72" s="19">
        <v>1</v>
      </c>
      <c r="N72" s="19">
        <v>-1</v>
      </c>
      <c r="O72" s="19">
        <v>0</v>
      </c>
      <c r="P72" s="19">
        <v>-13.772</v>
      </c>
      <c r="Q72" s="19">
        <v>0</v>
      </c>
      <c r="R72" s="19">
        <v>0</v>
      </c>
    </row>
    <row r="73" ht="16.5" spans="1:18">
      <c r="A73" s="17">
        <v>94</v>
      </c>
      <c r="B73" s="17" t="s">
        <v>587</v>
      </c>
      <c r="C73" s="17">
        <v>2877.65</v>
      </c>
      <c r="D73" s="17">
        <v>3175.644</v>
      </c>
      <c r="E73" s="17">
        <v>0</v>
      </c>
      <c r="F73" s="17">
        <v>0</v>
      </c>
      <c r="G73" s="17">
        <v>1</v>
      </c>
      <c r="H73" s="18">
        <v>0</v>
      </c>
      <c r="I73" s="18">
        <v>0</v>
      </c>
      <c r="J73" s="18">
        <v>0</v>
      </c>
      <c r="K73" s="19">
        <v>4</v>
      </c>
      <c r="L73" s="19">
        <v>1</v>
      </c>
      <c r="M73" s="19">
        <v>0</v>
      </c>
      <c r="N73" s="19">
        <v>1</v>
      </c>
      <c r="O73" s="19">
        <v>0</v>
      </c>
      <c r="P73" s="19">
        <v>-5.343</v>
      </c>
      <c r="Q73" s="19">
        <v>0</v>
      </c>
      <c r="R73" s="19">
        <v>0</v>
      </c>
    </row>
    <row r="74" ht="16.5" spans="1:18">
      <c r="A74" s="17">
        <v>95</v>
      </c>
      <c r="B74" s="17" t="s">
        <v>588</v>
      </c>
      <c r="C74" s="17">
        <v>2778.103</v>
      </c>
      <c r="D74" s="17">
        <v>3145.422</v>
      </c>
      <c r="E74" s="17">
        <v>0</v>
      </c>
      <c r="F74" s="17">
        <v>0</v>
      </c>
      <c r="G74" s="17">
        <v>1</v>
      </c>
      <c r="H74" s="18">
        <v>0</v>
      </c>
      <c r="I74" s="18">
        <v>0</v>
      </c>
      <c r="J74" s="18">
        <v>0</v>
      </c>
      <c r="K74" s="19">
        <v>4</v>
      </c>
      <c r="L74" s="19">
        <v>0</v>
      </c>
      <c r="M74" s="19">
        <v>0</v>
      </c>
      <c r="N74" s="19">
        <v>1</v>
      </c>
      <c r="O74" s="19">
        <v>0</v>
      </c>
      <c r="P74" s="19">
        <v>-22.396</v>
      </c>
      <c r="Q74" s="19">
        <v>0</v>
      </c>
      <c r="R74" s="19">
        <v>0</v>
      </c>
    </row>
    <row r="75" ht="16.5" spans="1:18">
      <c r="A75" s="17">
        <v>97</v>
      </c>
      <c r="B75" s="17" t="s">
        <v>589</v>
      </c>
      <c r="C75" s="17">
        <v>8093.392</v>
      </c>
      <c r="D75" s="17">
        <v>9304.451</v>
      </c>
      <c r="E75" s="17">
        <v>0</v>
      </c>
      <c r="F75" s="17">
        <v>0</v>
      </c>
      <c r="G75" s="17">
        <v>1</v>
      </c>
      <c r="H75" s="18">
        <v>0</v>
      </c>
      <c r="I75" s="18">
        <v>0</v>
      </c>
      <c r="J75" s="18">
        <v>0</v>
      </c>
      <c r="K75" s="19">
        <v>4</v>
      </c>
      <c r="L75" s="19">
        <v>0</v>
      </c>
      <c r="M75" s="19">
        <v>0</v>
      </c>
      <c r="N75" s="19">
        <v>1</v>
      </c>
      <c r="O75" s="19">
        <v>0</v>
      </c>
      <c r="P75" s="19">
        <v>-12.22</v>
      </c>
      <c r="Q75" s="19">
        <v>0</v>
      </c>
      <c r="R75" s="19">
        <v>0</v>
      </c>
    </row>
    <row r="76" ht="16.5" spans="1:18">
      <c r="A76" s="17">
        <v>98</v>
      </c>
      <c r="B76" s="17" t="s">
        <v>590</v>
      </c>
      <c r="C76" s="17">
        <v>4767.529</v>
      </c>
      <c r="D76" s="17">
        <v>5253.126</v>
      </c>
      <c r="E76" s="17">
        <v>0</v>
      </c>
      <c r="F76" s="17">
        <v>0</v>
      </c>
      <c r="G76" s="17">
        <v>1</v>
      </c>
      <c r="H76" s="18">
        <v>0</v>
      </c>
      <c r="I76" s="18">
        <v>0</v>
      </c>
      <c r="J76" s="18">
        <v>0</v>
      </c>
      <c r="K76" s="19">
        <v>3</v>
      </c>
      <c r="L76" s="19">
        <v>0</v>
      </c>
      <c r="M76" s="19">
        <v>1</v>
      </c>
      <c r="N76" s="19">
        <v>-1</v>
      </c>
      <c r="O76" s="19">
        <v>0</v>
      </c>
      <c r="P76" s="19">
        <v>-14.908</v>
      </c>
      <c r="Q76" s="19">
        <v>0</v>
      </c>
      <c r="R76" s="19">
        <v>0</v>
      </c>
    </row>
    <row r="77" ht="16.5" spans="1:18">
      <c r="A77" s="17">
        <v>99</v>
      </c>
      <c r="B77" s="17" t="s">
        <v>591</v>
      </c>
      <c r="C77" s="17">
        <v>7233.191</v>
      </c>
      <c r="D77" s="17">
        <v>8274.534</v>
      </c>
      <c r="E77" s="17">
        <v>0</v>
      </c>
      <c r="F77" s="17">
        <v>0</v>
      </c>
      <c r="G77" s="17">
        <v>1</v>
      </c>
      <c r="H77" s="18">
        <v>0</v>
      </c>
      <c r="I77" s="18">
        <v>0</v>
      </c>
      <c r="J77" s="18">
        <v>0</v>
      </c>
      <c r="K77" s="19">
        <v>4</v>
      </c>
      <c r="L77" s="19">
        <v>0</v>
      </c>
      <c r="M77" s="19">
        <v>0</v>
      </c>
      <c r="N77" s="19">
        <v>1</v>
      </c>
      <c r="O77" s="19">
        <v>0</v>
      </c>
      <c r="P77" s="19">
        <v>-3.932</v>
      </c>
      <c r="Q77" s="19">
        <v>0</v>
      </c>
      <c r="R77" s="19">
        <v>0</v>
      </c>
    </row>
    <row r="78" ht="16.5" spans="1:18">
      <c r="A78" s="17">
        <v>100</v>
      </c>
      <c r="B78" s="17" t="s">
        <v>592</v>
      </c>
      <c r="C78" s="17">
        <v>5310.953</v>
      </c>
      <c r="D78" s="17">
        <v>5878.339</v>
      </c>
      <c r="E78" s="17">
        <v>0</v>
      </c>
      <c r="F78" s="17">
        <v>0</v>
      </c>
      <c r="G78" s="17">
        <v>1</v>
      </c>
      <c r="H78" s="18">
        <v>0</v>
      </c>
      <c r="I78" s="18">
        <v>0</v>
      </c>
      <c r="J78" s="18">
        <v>0</v>
      </c>
      <c r="K78" s="19">
        <v>3</v>
      </c>
      <c r="L78" s="19">
        <v>0</v>
      </c>
      <c r="M78" s="19">
        <v>0</v>
      </c>
      <c r="N78" s="19">
        <v>1</v>
      </c>
      <c r="O78" s="19">
        <v>0</v>
      </c>
      <c r="P78" s="19">
        <v>-5.515</v>
      </c>
      <c r="Q78" s="19">
        <v>0</v>
      </c>
      <c r="R78" s="19">
        <v>0</v>
      </c>
    </row>
    <row r="79" ht="16.5" spans="1:18">
      <c r="A79" s="17">
        <v>102</v>
      </c>
      <c r="B79" s="17" t="s">
        <v>593</v>
      </c>
      <c r="C79" s="17">
        <v>5316.953</v>
      </c>
      <c r="D79" s="17">
        <v>6024.029</v>
      </c>
      <c r="E79" s="17">
        <v>0</v>
      </c>
      <c r="F79" s="17">
        <v>0</v>
      </c>
      <c r="G79" s="17">
        <v>1</v>
      </c>
      <c r="H79" s="18">
        <v>0</v>
      </c>
      <c r="I79" s="18">
        <v>0</v>
      </c>
      <c r="J79" s="18">
        <v>0</v>
      </c>
      <c r="K79" s="19">
        <v>3</v>
      </c>
      <c r="L79" s="19">
        <v>0</v>
      </c>
      <c r="M79" s="19">
        <v>0</v>
      </c>
      <c r="N79" s="19">
        <v>0</v>
      </c>
      <c r="O79" s="19">
        <v>0</v>
      </c>
      <c r="P79" s="19">
        <v>-3.499</v>
      </c>
      <c r="Q79" s="19">
        <v>0</v>
      </c>
      <c r="R79" s="19">
        <v>1</v>
      </c>
    </row>
    <row r="80" ht="16.5" spans="1:18">
      <c r="A80" s="17">
        <v>104</v>
      </c>
      <c r="B80" s="17" t="s">
        <v>594</v>
      </c>
      <c r="C80" s="17">
        <v>1305.984</v>
      </c>
      <c r="D80" s="17">
        <v>1529.087</v>
      </c>
      <c r="E80" s="17">
        <v>0</v>
      </c>
      <c r="F80" s="17">
        <v>0</v>
      </c>
      <c r="G80" s="17">
        <v>1</v>
      </c>
      <c r="H80" s="18">
        <v>0</v>
      </c>
      <c r="I80" s="18">
        <v>0</v>
      </c>
      <c r="J80" s="18">
        <v>0</v>
      </c>
      <c r="K80" s="19">
        <v>3</v>
      </c>
      <c r="L80" s="19">
        <v>1</v>
      </c>
      <c r="M80" s="19">
        <v>0</v>
      </c>
      <c r="N80" s="19">
        <v>0</v>
      </c>
      <c r="O80" s="19">
        <v>0</v>
      </c>
      <c r="P80" s="19">
        <v>-53.82</v>
      </c>
      <c r="Q80" s="19">
        <v>0</v>
      </c>
      <c r="R80" s="19">
        <v>1</v>
      </c>
    </row>
    <row r="81" ht="16.5" spans="1:18">
      <c r="A81" s="17">
        <v>105</v>
      </c>
      <c r="B81" s="17" t="s">
        <v>595</v>
      </c>
      <c r="C81" s="17">
        <v>3569.368</v>
      </c>
      <c r="D81" s="17">
        <v>4038.975</v>
      </c>
      <c r="E81" s="17">
        <v>0</v>
      </c>
      <c r="F81" s="17">
        <v>0</v>
      </c>
      <c r="G81" s="17">
        <v>1</v>
      </c>
      <c r="H81" s="18">
        <v>0</v>
      </c>
      <c r="I81" s="18">
        <v>0</v>
      </c>
      <c r="J81" s="18">
        <v>0</v>
      </c>
      <c r="K81" s="19">
        <v>1</v>
      </c>
      <c r="L81" s="19">
        <v>0</v>
      </c>
      <c r="M81" s="19">
        <v>0</v>
      </c>
      <c r="N81" s="19">
        <v>-1</v>
      </c>
      <c r="O81" s="19">
        <v>0</v>
      </c>
      <c r="P81" s="19">
        <v>-9.007</v>
      </c>
      <c r="Q81" s="19">
        <v>0</v>
      </c>
      <c r="R81" s="19">
        <v>0</v>
      </c>
    </row>
    <row r="82" ht="16.5" spans="1:18">
      <c r="A82" s="17">
        <v>106</v>
      </c>
      <c r="B82" s="17" t="s">
        <v>596</v>
      </c>
      <c r="C82" s="17">
        <v>4343.657</v>
      </c>
      <c r="D82" s="17">
        <v>4932.973</v>
      </c>
      <c r="E82" s="17">
        <v>0</v>
      </c>
      <c r="F82" s="17">
        <v>0</v>
      </c>
      <c r="G82" s="17">
        <v>1</v>
      </c>
      <c r="H82" s="18">
        <v>0</v>
      </c>
      <c r="I82" s="18">
        <v>0</v>
      </c>
      <c r="J82" s="18">
        <v>0</v>
      </c>
      <c r="K82" s="19">
        <v>4</v>
      </c>
      <c r="L82" s="19">
        <v>0</v>
      </c>
      <c r="M82" s="19">
        <v>0</v>
      </c>
      <c r="N82" s="19">
        <v>0</v>
      </c>
      <c r="O82" s="19">
        <v>0</v>
      </c>
      <c r="P82" s="19">
        <v>-18.926</v>
      </c>
      <c r="Q82" s="19">
        <v>0</v>
      </c>
      <c r="R82" s="19">
        <v>1</v>
      </c>
    </row>
    <row r="83" ht="16.5" spans="1:18">
      <c r="A83" s="17">
        <v>107</v>
      </c>
      <c r="B83" s="17" t="s">
        <v>597</v>
      </c>
      <c r="C83" s="17">
        <v>4987.046</v>
      </c>
      <c r="D83" s="17">
        <v>5572.091</v>
      </c>
      <c r="E83" s="17">
        <v>0</v>
      </c>
      <c r="F83" s="17">
        <v>0</v>
      </c>
      <c r="G83" s="17">
        <v>1</v>
      </c>
      <c r="H83" s="18">
        <v>0</v>
      </c>
      <c r="I83" s="18">
        <v>0</v>
      </c>
      <c r="J83" s="18">
        <v>0</v>
      </c>
      <c r="K83" s="19">
        <v>1</v>
      </c>
      <c r="L83" s="19">
        <v>0</v>
      </c>
      <c r="M83" s="19">
        <v>0</v>
      </c>
      <c r="N83" s="19">
        <v>-1</v>
      </c>
      <c r="O83" s="19">
        <v>0</v>
      </c>
      <c r="P83" s="19">
        <v>-8.036</v>
      </c>
      <c r="Q83" s="19">
        <v>0</v>
      </c>
      <c r="R83" s="19">
        <v>0</v>
      </c>
    </row>
    <row r="84" ht="16.5" spans="1:18">
      <c r="A84" s="17">
        <v>113</v>
      </c>
      <c r="B84" s="17" t="s">
        <v>598</v>
      </c>
      <c r="C84" s="17">
        <v>2530.221</v>
      </c>
      <c r="D84" s="17">
        <v>2828.366</v>
      </c>
      <c r="E84" s="17">
        <v>0</v>
      </c>
      <c r="F84" s="17">
        <v>0</v>
      </c>
      <c r="G84" s="17">
        <v>1</v>
      </c>
      <c r="H84" s="18">
        <v>0</v>
      </c>
      <c r="I84" s="18">
        <v>0</v>
      </c>
      <c r="J84" s="18">
        <v>0</v>
      </c>
      <c r="K84" s="19">
        <v>3</v>
      </c>
      <c r="L84" s="19">
        <v>0</v>
      </c>
      <c r="M84" s="19">
        <v>0</v>
      </c>
      <c r="N84" s="19">
        <v>-1</v>
      </c>
      <c r="O84" s="19">
        <v>0</v>
      </c>
      <c r="P84" s="19">
        <v>-8.79</v>
      </c>
      <c r="Q84" s="19">
        <v>0</v>
      </c>
      <c r="R84" s="19">
        <v>0</v>
      </c>
    </row>
    <row r="85" ht="16.5" spans="1:18">
      <c r="A85" s="17">
        <v>114</v>
      </c>
      <c r="B85" s="17" t="s">
        <v>599</v>
      </c>
      <c r="C85" s="17">
        <v>1126.017</v>
      </c>
      <c r="D85" s="17">
        <v>1268.489</v>
      </c>
      <c r="E85" s="17">
        <v>0</v>
      </c>
      <c r="F85" s="17">
        <v>0</v>
      </c>
      <c r="G85" s="17">
        <v>1</v>
      </c>
      <c r="H85" s="18">
        <v>0</v>
      </c>
      <c r="I85" s="18">
        <v>0</v>
      </c>
      <c r="J85" s="18">
        <v>0</v>
      </c>
      <c r="K85" s="19">
        <v>4</v>
      </c>
      <c r="L85" s="19">
        <v>1</v>
      </c>
      <c r="M85" s="19">
        <v>0</v>
      </c>
      <c r="N85" s="19">
        <v>1</v>
      </c>
      <c r="O85" s="19">
        <v>0</v>
      </c>
      <c r="P85" s="19">
        <v>-5.134</v>
      </c>
      <c r="Q85" s="19">
        <v>0</v>
      </c>
      <c r="R85" s="19">
        <v>1</v>
      </c>
    </row>
    <row r="86" ht="16.5" spans="1:18">
      <c r="A86" s="17">
        <v>117</v>
      </c>
      <c r="B86" s="17" t="s">
        <v>600</v>
      </c>
      <c r="C86" s="17">
        <v>3292.062</v>
      </c>
      <c r="D86" s="17">
        <v>3782.444</v>
      </c>
      <c r="E86" s="17">
        <v>0</v>
      </c>
      <c r="F86" s="17">
        <v>0</v>
      </c>
      <c r="G86" s="17">
        <v>1</v>
      </c>
      <c r="H86" s="18">
        <v>0</v>
      </c>
      <c r="I86" s="18">
        <v>0</v>
      </c>
      <c r="J86" s="18">
        <v>0</v>
      </c>
      <c r="K86" s="19">
        <v>3</v>
      </c>
      <c r="L86" s="19">
        <v>0</v>
      </c>
      <c r="M86" s="19">
        <v>1</v>
      </c>
      <c r="N86" s="19">
        <v>-1</v>
      </c>
      <c r="O86" s="19">
        <v>0</v>
      </c>
      <c r="P86" s="19">
        <v>-28.919</v>
      </c>
      <c r="Q86" s="19">
        <v>0</v>
      </c>
      <c r="R86" s="19">
        <v>0</v>
      </c>
    </row>
    <row r="87" ht="16.5" spans="1:18">
      <c r="A87" s="17">
        <v>118</v>
      </c>
      <c r="B87" s="17" t="s">
        <v>601</v>
      </c>
      <c r="C87" s="17">
        <v>8375.698</v>
      </c>
      <c r="D87" s="17">
        <v>9201.208</v>
      </c>
      <c r="E87" s="17">
        <v>0</v>
      </c>
      <c r="F87" s="17">
        <v>0</v>
      </c>
      <c r="G87" s="17">
        <v>1</v>
      </c>
      <c r="H87" s="18">
        <v>0</v>
      </c>
      <c r="I87" s="18">
        <v>0</v>
      </c>
      <c r="J87" s="18">
        <v>0</v>
      </c>
      <c r="K87" s="19">
        <v>4</v>
      </c>
      <c r="L87" s="19">
        <v>0</v>
      </c>
      <c r="M87" s="19">
        <v>0</v>
      </c>
      <c r="N87" s="19">
        <v>0</v>
      </c>
      <c r="O87" s="19">
        <v>0</v>
      </c>
      <c r="P87" s="19">
        <v>-11.084</v>
      </c>
      <c r="Q87" s="19">
        <v>0</v>
      </c>
      <c r="R87" s="19">
        <v>1</v>
      </c>
    </row>
    <row r="88" ht="16.5" spans="1:18">
      <c r="A88" s="17">
        <v>120</v>
      </c>
      <c r="B88" s="17" t="s">
        <v>602</v>
      </c>
      <c r="C88" s="17">
        <v>7645.315</v>
      </c>
      <c r="D88" s="17">
        <v>8487.945</v>
      </c>
      <c r="E88" s="17">
        <v>0</v>
      </c>
      <c r="F88" s="17">
        <v>0</v>
      </c>
      <c r="G88" s="17">
        <v>1</v>
      </c>
      <c r="H88" s="18">
        <v>0</v>
      </c>
      <c r="I88" s="18">
        <v>0</v>
      </c>
      <c r="J88" s="18">
        <v>0</v>
      </c>
      <c r="K88" s="19">
        <v>4</v>
      </c>
      <c r="L88" s="19">
        <v>0</v>
      </c>
      <c r="M88" s="19">
        <v>0</v>
      </c>
      <c r="N88" s="19">
        <v>0</v>
      </c>
      <c r="O88" s="19">
        <v>0</v>
      </c>
      <c r="P88" s="19">
        <v>-35.221</v>
      </c>
      <c r="Q88" s="19">
        <v>0</v>
      </c>
      <c r="R88" s="19">
        <v>1</v>
      </c>
    </row>
    <row r="89" ht="16.5" spans="1:18">
      <c r="A89" s="17">
        <v>123</v>
      </c>
      <c r="B89" s="17" t="s">
        <v>603</v>
      </c>
      <c r="C89" s="17">
        <v>5314.573</v>
      </c>
      <c r="D89" s="17">
        <v>6046.46</v>
      </c>
      <c r="E89" s="17">
        <v>0</v>
      </c>
      <c r="F89" s="17">
        <v>0</v>
      </c>
      <c r="G89" s="17">
        <v>1</v>
      </c>
      <c r="H89" s="18">
        <v>0</v>
      </c>
      <c r="I89" s="18">
        <v>0</v>
      </c>
      <c r="J89" s="18">
        <v>0</v>
      </c>
      <c r="K89" s="19">
        <v>4</v>
      </c>
      <c r="L89" s="19">
        <v>0</v>
      </c>
      <c r="M89" s="19">
        <v>0</v>
      </c>
      <c r="N89" s="19">
        <v>0</v>
      </c>
      <c r="O89" s="19">
        <v>0</v>
      </c>
      <c r="P89" s="19">
        <v>-14.487</v>
      </c>
      <c r="Q89" s="19">
        <v>0</v>
      </c>
      <c r="R89" s="19">
        <v>1</v>
      </c>
    </row>
    <row r="90" ht="16.5" spans="1:18">
      <c r="A90" s="17">
        <v>125</v>
      </c>
      <c r="B90" s="17" t="s">
        <v>604</v>
      </c>
      <c r="C90" s="17">
        <v>10637.901</v>
      </c>
      <c r="D90" s="17">
        <v>11433.171</v>
      </c>
      <c r="E90" s="17">
        <v>0</v>
      </c>
      <c r="F90" s="17">
        <v>0</v>
      </c>
      <c r="G90" s="17">
        <v>1</v>
      </c>
      <c r="H90" s="18">
        <v>0</v>
      </c>
      <c r="I90" s="18">
        <v>0</v>
      </c>
      <c r="J90" s="18">
        <v>0</v>
      </c>
      <c r="K90" s="19">
        <v>3</v>
      </c>
      <c r="L90" s="19">
        <v>0</v>
      </c>
      <c r="M90" s="19">
        <v>0</v>
      </c>
      <c r="N90" s="19">
        <v>1</v>
      </c>
      <c r="O90" s="19">
        <v>0</v>
      </c>
      <c r="P90" s="19">
        <v>0.004</v>
      </c>
      <c r="Q90" s="19">
        <v>0</v>
      </c>
      <c r="R90" s="19">
        <v>0</v>
      </c>
    </row>
    <row r="91" ht="16.5" spans="1:18">
      <c r="A91" s="17">
        <v>126</v>
      </c>
      <c r="B91" s="17" t="s">
        <v>605</v>
      </c>
      <c r="C91" s="17">
        <v>7936.782</v>
      </c>
      <c r="D91" s="17">
        <v>8769.213</v>
      </c>
      <c r="E91" s="17">
        <v>0</v>
      </c>
      <c r="F91" s="17">
        <v>0</v>
      </c>
      <c r="G91" s="17">
        <v>1</v>
      </c>
      <c r="H91" s="18">
        <v>0</v>
      </c>
      <c r="I91" s="18">
        <v>0</v>
      </c>
      <c r="J91" s="18">
        <v>0</v>
      </c>
      <c r="K91" s="19">
        <v>1</v>
      </c>
      <c r="L91" s="19">
        <v>0</v>
      </c>
      <c r="M91" s="19">
        <v>1</v>
      </c>
      <c r="N91" s="19">
        <v>-1</v>
      </c>
      <c r="O91" s="19">
        <v>0</v>
      </c>
      <c r="P91" s="19">
        <v>-16.219</v>
      </c>
      <c r="Q91" s="19">
        <v>0</v>
      </c>
      <c r="R91" s="19">
        <v>0</v>
      </c>
    </row>
    <row r="92" ht="16.5" spans="1:18">
      <c r="A92" s="17">
        <v>128</v>
      </c>
      <c r="B92" s="17" t="s">
        <v>606</v>
      </c>
      <c r="C92" s="17">
        <v>7330.711</v>
      </c>
      <c r="D92" s="17">
        <v>8174.783</v>
      </c>
      <c r="E92" s="17">
        <v>0</v>
      </c>
      <c r="F92" s="17">
        <v>0</v>
      </c>
      <c r="G92" s="17">
        <v>1</v>
      </c>
      <c r="H92" s="18">
        <v>0</v>
      </c>
      <c r="I92" s="18">
        <v>0</v>
      </c>
      <c r="J92" s="18">
        <v>0</v>
      </c>
      <c r="K92" s="19">
        <v>4</v>
      </c>
      <c r="L92" s="19">
        <v>0</v>
      </c>
      <c r="M92" s="19">
        <v>0</v>
      </c>
      <c r="N92" s="19">
        <v>1</v>
      </c>
      <c r="O92" s="19">
        <v>-1</v>
      </c>
      <c r="P92" s="19">
        <v>-14.525</v>
      </c>
      <c r="Q92" s="19">
        <v>0</v>
      </c>
      <c r="R92" s="19">
        <v>0</v>
      </c>
    </row>
    <row r="93" ht="16.5" spans="1:18">
      <c r="A93" s="17">
        <v>129</v>
      </c>
      <c r="B93" s="17" t="s">
        <v>607</v>
      </c>
      <c r="C93" s="17">
        <v>13862.862</v>
      </c>
      <c r="D93" s="17">
        <v>15089.788</v>
      </c>
      <c r="E93" s="17">
        <v>0</v>
      </c>
      <c r="F93" s="17">
        <v>0</v>
      </c>
      <c r="G93" s="17">
        <v>1</v>
      </c>
      <c r="H93" s="18">
        <v>0</v>
      </c>
      <c r="I93" s="18">
        <v>0</v>
      </c>
      <c r="J93" s="18">
        <v>0</v>
      </c>
      <c r="K93" s="19">
        <v>1</v>
      </c>
      <c r="L93" s="19">
        <v>0</v>
      </c>
      <c r="M93" s="19">
        <v>1</v>
      </c>
      <c r="N93" s="19">
        <v>-1</v>
      </c>
      <c r="O93" s="19">
        <v>0</v>
      </c>
      <c r="P93" s="19">
        <v>-9.21</v>
      </c>
      <c r="Q93" s="19">
        <v>0</v>
      </c>
      <c r="R93" s="19">
        <v>0</v>
      </c>
    </row>
    <row r="94" ht="16.5" spans="1:18">
      <c r="A94" s="17">
        <v>130</v>
      </c>
      <c r="B94" s="17" t="s">
        <v>608</v>
      </c>
      <c r="C94" s="17">
        <v>11477.305</v>
      </c>
      <c r="D94" s="17">
        <v>12650.265</v>
      </c>
      <c r="E94" s="17">
        <v>0</v>
      </c>
      <c r="F94" s="17">
        <v>0</v>
      </c>
      <c r="G94" s="17">
        <v>1</v>
      </c>
      <c r="H94" s="18">
        <v>0</v>
      </c>
      <c r="I94" s="18">
        <v>0</v>
      </c>
      <c r="J94" s="18">
        <v>0</v>
      </c>
      <c r="K94" s="19">
        <v>3</v>
      </c>
      <c r="L94" s="19">
        <v>0</v>
      </c>
      <c r="M94" s="19">
        <v>0</v>
      </c>
      <c r="N94" s="19">
        <v>-1</v>
      </c>
      <c r="O94" s="19">
        <v>0</v>
      </c>
      <c r="P94" s="19">
        <v>-15.943</v>
      </c>
      <c r="Q94" s="19">
        <v>0</v>
      </c>
      <c r="R94" s="19">
        <v>0</v>
      </c>
    </row>
    <row r="95" ht="16.5" spans="1:18">
      <c r="A95" s="17">
        <v>135</v>
      </c>
      <c r="B95" s="17" t="s">
        <v>609</v>
      </c>
      <c r="C95" s="17">
        <v>4862.887</v>
      </c>
      <c r="D95" s="17">
        <v>5679.702</v>
      </c>
      <c r="E95" s="17">
        <v>0</v>
      </c>
      <c r="F95" s="17">
        <v>0</v>
      </c>
      <c r="G95" s="17">
        <v>1</v>
      </c>
      <c r="H95" s="18">
        <v>0</v>
      </c>
      <c r="I95" s="18">
        <v>0</v>
      </c>
      <c r="J95" s="18">
        <v>0</v>
      </c>
      <c r="K95" s="19">
        <v>3</v>
      </c>
      <c r="L95" s="19">
        <v>0</v>
      </c>
      <c r="M95" s="19">
        <v>0</v>
      </c>
      <c r="N95" s="19">
        <v>0</v>
      </c>
      <c r="O95" s="19">
        <v>0</v>
      </c>
      <c r="P95" s="19">
        <v>-24.455</v>
      </c>
      <c r="Q95" s="19">
        <v>0</v>
      </c>
      <c r="R95" s="19">
        <v>0</v>
      </c>
    </row>
    <row r="96" ht="16.5" spans="1:18">
      <c r="A96" s="17">
        <v>136</v>
      </c>
      <c r="B96" s="17" t="s">
        <v>610</v>
      </c>
      <c r="C96" s="17">
        <v>11030.467</v>
      </c>
      <c r="D96" s="17">
        <v>12005.168</v>
      </c>
      <c r="E96" s="17">
        <v>0</v>
      </c>
      <c r="F96" s="17">
        <v>0</v>
      </c>
      <c r="G96" s="17">
        <v>1</v>
      </c>
      <c r="H96" s="18">
        <v>0</v>
      </c>
      <c r="I96" s="18">
        <v>0</v>
      </c>
      <c r="J96" s="18">
        <v>0</v>
      </c>
      <c r="K96" s="19">
        <v>3</v>
      </c>
      <c r="L96" s="19">
        <v>1</v>
      </c>
      <c r="M96" s="19">
        <v>0</v>
      </c>
      <c r="N96" s="19">
        <v>0</v>
      </c>
      <c r="O96" s="19">
        <v>0</v>
      </c>
      <c r="P96" s="19">
        <v>-21.549</v>
      </c>
      <c r="Q96" s="19">
        <v>0</v>
      </c>
      <c r="R96" s="19">
        <v>-1</v>
      </c>
    </row>
    <row r="97" ht="16.5" spans="1:18">
      <c r="A97" s="17">
        <v>138</v>
      </c>
      <c r="B97" s="17" t="s">
        <v>611</v>
      </c>
      <c r="C97" s="17">
        <v>6903.759</v>
      </c>
      <c r="D97" s="17">
        <v>7515.922</v>
      </c>
      <c r="E97" s="17">
        <v>0</v>
      </c>
      <c r="F97" s="17">
        <v>0</v>
      </c>
      <c r="G97" s="17">
        <v>1</v>
      </c>
      <c r="H97" s="18">
        <v>0</v>
      </c>
      <c r="I97" s="18">
        <v>0</v>
      </c>
      <c r="J97" s="18">
        <v>0</v>
      </c>
      <c r="K97" s="19">
        <v>4</v>
      </c>
      <c r="L97" s="19">
        <v>0</v>
      </c>
      <c r="M97" s="19">
        <v>0</v>
      </c>
      <c r="N97" s="19">
        <v>1</v>
      </c>
      <c r="O97" s="19">
        <v>0</v>
      </c>
      <c r="P97" s="19">
        <v>-28.698</v>
      </c>
      <c r="Q97" s="19">
        <v>0</v>
      </c>
      <c r="R97" s="19">
        <v>1</v>
      </c>
    </row>
    <row r="98" ht="16.5" spans="1:18">
      <c r="A98" s="17">
        <v>142</v>
      </c>
      <c r="B98" s="17" t="s">
        <v>612</v>
      </c>
      <c r="C98" s="17">
        <v>7980.52</v>
      </c>
      <c r="D98" s="17">
        <v>8804.174</v>
      </c>
      <c r="E98" s="17">
        <v>0</v>
      </c>
      <c r="F98" s="17">
        <v>0</v>
      </c>
      <c r="G98" s="17">
        <v>1</v>
      </c>
      <c r="H98" s="18">
        <v>0</v>
      </c>
      <c r="I98" s="18">
        <v>0</v>
      </c>
      <c r="J98" s="18">
        <v>0</v>
      </c>
      <c r="K98" s="19">
        <v>3</v>
      </c>
      <c r="L98" s="19">
        <v>0</v>
      </c>
      <c r="M98" s="19">
        <v>0</v>
      </c>
      <c r="N98" s="19">
        <v>1</v>
      </c>
      <c r="O98" s="19">
        <v>0</v>
      </c>
      <c r="P98" s="19">
        <v>-37.203</v>
      </c>
      <c r="Q98" s="19">
        <v>0</v>
      </c>
      <c r="R98" s="19">
        <v>0</v>
      </c>
    </row>
    <row r="99" ht="16.5" spans="1:18">
      <c r="A99" s="17">
        <v>145</v>
      </c>
      <c r="B99" s="17" t="s">
        <v>613</v>
      </c>
      <c r="C99" s="17">
        <v>5014.984</v>
      </c>
      <c r="D99" s="17">
        <v>5596.967</v>
      </c>
      <c r="E99" s="17">
        <v>0</v>
      </c>
      <c r="F99" s="17">
        <v>0</v>
      </c>
      <c r="G99" s="17">
        <v>1</v>
      </c>
      <c r="H99" s="18">
        <v>0</v>
      </c>
      <c r="I99" s="18">
        <v>0</v>
      </c>
      <c r="J99" s="18">
        <v>0</v>
      </c>
      <c r="K99" s="19">
        <v>4</v>
      </c>
      <c r="L99" s="19">
        <v>0</v>
      </c>
      <c r="M99" s="19">
        <v>0</v>
      </c>
      <c r="N99" s="19">
        <v>1</v>
      </c>
      <c r="O99" s="19">
        <v>0</v>
      </c>
      <c r="P99" s="19">
        <v>-12.43</v>
      </c>
      <c r="Q99" s="19">
        <v>0</v>
      </c>
      <c r="R99" s="19">
        <v>0</v>
      </c>
    </row>
    <row r="100" ht="16.5" spans="1:18">
      <c r="A100" s="17">
        <v>146</v>
      </c>
      <c r="B100" s="17" t="s">
        <v>614</v>
      </c>
      <c r="C100" s="17">
        <v>6034.205</v>
      </c>
      <c r="D100" s="17">
        <v>7007.46</v>
      </c>
      <c r="E100" s="17">
        <v>0</v>
      </c>
      <c r="F100" s="17">
        <v>0</v>
      </c>
      <c r="G100" s="17">
        <v>1</v>
      </c>
      <c r="H100" s="18">
        <v>0</v>
      </c>
      <c r="I100" s="18">
        <v>0</v>
      </c>
      <c r="J100" s="18">
        <v>0</v>
      </c>
      <c r="K100" s="19">
        <v>3</v>
      </c>
      <c r="L100" s="19">
        <v>2</v>
      </c>
      <c r="M100" s="19">
        <v>0</v>
      </c>
      <c r="N100" s="19">
        <v>-1</v>
      </c>
      <c r="O100" s="19">
        <v>0</v>
      </c>
      <c r="P100" s="19">
        <v>-25.594</v>
      </c>
      <c r="Q100" s="19">
        <v>0</v>
      </c>
      <c r="R100" s="19">
        <v>0</v>
      </c>
    </row>
    <row r="101" ht="16.5" spans="1:18">
      <c r="A101" s="17">
        <v>149</v>
      </c>
      <c r="B101" s="17" t="s">
        <v>615</v>
      </c>
      <c r="C101" s="17">
        <v>3696.081</v>
      </c>
      <c r="D101" s="17">
        <v>4014.198</v>
      </c>
      <c r="E101" s="17">
        <v>0</v>
      </c>
      <c r="F101" s="17">
        <v>0</v>
      </c>
      <c r="G101" s="17">
        <v>1</v>
      </c>
      <c r="H101" s="18">
        <v>0</v>
      </c>
      <c r="I101" s="18">
        <v>0</v>
      </c>
      <c r="J101" s="18">
        <v>0</v>
      </c>
      <c r="K101" s="19">
        <v>3</v>
      </c>
      <c r="L101" s="19">
        <v>0</v>
      </c>
      <c r="M101" s="19">
        <v>0</v>
      </c>
      <c r="N101" s="19">
        <v>0</v>
      </c>
      <c r="O101" s="19">
        <v>0</v>
      </c>
      <c r="P101" s="19">
        <v>-10.89</v>
      </c>
      <c r="Q101" s="19">
        <v>0</v>
      </c>
      <c r="R101" s="19">
        <v>0</v>
      </c>
    </row>
    <row r="102" ht="16.5" spans="1:18">
      <c r="A102" s="17">
        <v>150</v>
      </c>
      <c r="B102" s="17" t="s">
        <v>616</v>
      </c>
      <c r="C102" s="17">
        <v>11203.864</v>
      </c>
      <c r="D102" s="17">
        <v>12329.065</v>
      </c>
      <c r="E102" s="17">
        <v>0</v>
      </c>
      <c r="F102" s="17">
        <v>0</v>
      </c>
      <c r="G102" s="17">
        <v>1</v>
      </c>
      <c r="H102" s="18">
        <v>0</v>
      </c>
      <c r="I102" s="18">
        <v>0</v>
      </c>
      <c r="J102" s="18">
        <v>0</v>
      </c>
      <c r="K102" s="19">
        <v>2</v>
      </c>
      <c r="L102" s="19">
        <v>0</v>
      </c>
      <c r="M102" s="19">
        <v>0</v>
      </c>
      <c r="N102" s="19">
        <v>1</v>
      </c>
      <c r="O102" s="19">
        <v>0</v>
      </c>
      <c r="P102" s="19">
        <v>-9.388</v>
      </c>
      <c r="Q102" s="19">
        <v>0</v>
      </c>
      <c r="R102" s="19">
        <v>0</v>
      </c>
    </row>
    <row r="103" ht="16.5" spans="1:18">
      <c r="A103" s="17">
        <v>151</v>
      </c>
      <c r="B103" s="17" t="s">
        <v>617</v>
      </c>
      <c r="C103" s="17">
        <v>1489.223</v>
      </c>
      <c r="D103" s="17">
        <v>1631.708</v>
      </c>
      <c r="E103" s="17">
        <v>0</v>
      </c>
      <c r="F103" s="17">
        <v>0</v>
      </c>
      <c r="G103" s="17">
        <v>1</v>
      </c>
      <c r="H103" s="18">
        <v>0</v>
      </c>
      <c r="I103" s="18">
        <v>0</v>
      </c>
      <c r="J103" s="18">
        <v>0</v>
      </c>
      <c r="K103" s="19">
        <v>2</v>
      </c>
      <c r="L103" s="19">
        <v>0</v>
      </c>
      <c r="M103" s="19">
        <v>0</v>
      </c>
      <c r="N103" s="19">
        <v>0</v>
      </c>
      <c r="O103" s="19">
        <v>0</v>
      </c>
      <c r="P103" s="19">
        <v>-1.828</v>
      </c>
      <c r="Q103" s="19">
        <v>0</v>
      </c>
      <c r="R103" s="19">
        <v>1</v>
      </c>
    </row>
    <row r="104" ht="16.5" spans="1:18">
      <c r="A104" s="17">
        <v>152</v>
      </c>
      <c r="B104" s="17" t="s">
        <v>618</v>
      </c>
      <c r="C104" s="17">
        <v>2582.649</v>
      </c>
      <c r="D104" s="17">
        <v>2805.525</v>
      </c>
      <c r="E104" s="17">
        <v>0</v>
      </c>
      <c r="F104" s="17">
        <v>0</v>
      </c>
      <c r="G104" s="17">
        <v>1</v>
      </c>
      <c r="H104" s="18">
        <v>0</v>
      </c>
      <c r="I104" s="18">
        <v>0</v>
      </c>
      <c r="J104" s="18">
        <v>0</v>
      </c>
      <c r="K104" s="19">
        <v>4</v>
      </c>
      <c r="L104" s="19">
        <v>0</v>
      </c>
      <c r="M104" s="19">
        <v>0</v>
      </c>
      <c r="N104" s="19">
        <v>0</v>
      </c>
      <c r="O104" s="19">
        <v>0</v>
      </c>
      <c r="P104" s="19">
        <v>-33.226</v>
      </c>
      <c r="Q104" s="19">
        <v>0</v>
      </c>
      <c r="R104" s="19">
        <v>0</v>
      </c>
    </row>
    <row r="105" ht="16.5" spans="1:18">
      <c r="A105" s="17">
        <v>155</v>
      </c>
      <c r="B105" s="17" t="s">
        <v>619</v>
      </c>
      <c r="C105" s="17">
        <v>2709.825</v>
      </c>
      <c r="D105" s="17">
        <v>2972.361</v>
      </c>
      <c r="E105" s="17">
        <v>0</v>
      </c>
      <c r="F105" s="17">
        <v>0</v>
      </c>
      <c r="G105" s="17">
        <v>1</v>
      </c>
      <c r="H105" s="18">
        <v>0</v>
      </c>
      <c r="I105" s="18">
        <v>0</v>
      </c>
      <c r="J105" s="18">
        <v>0</v>
      </c>
      <c r="K105" s="19">
        <v>4</v>
      </c>
      <c r="L105" s="19">
        <v>0</v>
      </c>
      <c r="M105" s="19">
        <v>0</v>
      </c>
      <c r="N105" s="19">
        <v>0</v>
      </c>
      <c r="O105" s="19">
        <v>0</v>
      </c>
      <c r="P105" s="19">
        <v>0.02</v>
      </c>
      <c r="Q105" s="19">
        <v>0</v>
      </c>
      <c r="R105" s="19">
        <v>0</v>
      </c>
    </row>
    <row r="106" ht="16.5" spans="1:18">
      <c r="A106" s="17">
        <v>158</v>
      </c>
      <c r="B106" s="17" t="s">
        <v>620</v>
      </c>
      <c r="C106" s="17">
        <v>1064.015</v>
      </c>
      <c r="D106" s="17">
        <v>1295.303</v>
      </c>
      <c r="E106" s="17">
        <v>0</v>
      </c>
      <c r="F106" s="17">
        <v>0</v>
      </c>
      <c r="G106" s="17">
        <v>1</v>
      </c>
      <c r="H106" s="18">
        <v>0</v>
      </c>
      <c r="I106" s="18">
        <v>0</v>
      </c>
      <c r="J106" s="18">
        <v>0</v>
      </c>
      <c r="K106" s="19">
        <v>3</v>
      </c>
      <c r="L106" s="19">
        <v>2</v>
      </c>
      <c r="M106" s="19">
        <v>0</v>
      </c>
      <c r="N106" s="19">
        <v>0</v>
      </c>
      <c r="O106" s="19">
        <v>0</v>
      </c>
      <c r="P106" s="19">
        <v>-14.513</v>
      </c>
      <c r="Q106" s="19">
        <v>0</v>
      </c>
      <c r="R106" s="19">
        <v>-1</v>
      </c>
    </row>
    <row r="107" ht="16.5" spans="1:18">
      <c r="A107" s="17">
        <v>159</v>
      </c>
      <c r="B107" s="17" t="s">
        <v>502</v>
      </c>
      <c r="C107" s="17">
        <v>2893.97</v>
      </c>
      <c r="D107" s="17">
        <v>3237.769</v>
      </c>
      <c r="E107" s="17">
        <v>0</v>
      </c>
      <c r="F107" s="17">
        <v>0</v>
      </c>
      <c r="G107" s="17">
        <v>1</v>
      </c>
      <c r="H107" s="18">
        <v>0</v>
      </c>
      <c r="I107" s="18">
        <v>0</v>
      </c>
      <c r="J107" s="18">
        <v>0</v>
      </c>
      <c r="K107" s="19">
        <v>4</v>
      </c>
      <c r="L107" s="19">
        <v>0</v>
      </c>
      <c r="M107" s="19">
        <v>0</v>
      </c>
      <c r="N107" s="19">
        <v>1</v>
      </c>
      <c r="O107" s="19">
        <v>0</v>
      </c>
      <c r="P107" s="19">
        <v>-40.286</v>
      </c>
      <c r="Q107" s="19">
        <v>0</v>
      </c>
      <c r="R107" s="19">
        <v>0</v>
      </c>
    </row>
    <row r="108" ht="16.5" spans="1:18">
      <c r="A108" s="17">
        <v>160</v>
      </c>
      <c r="B108" s="17" t="s">
        <v>621</v>
      </c>
      <c r="C108" s="17">
        <v>1731.208</v>
      </c>
      <c r="D108" s="17">
        <v>1934.88</v>
      </c>
      <c r="E108" s="17">
        <v>0</v>
      </c>
      <c r="F108" s="17">
        <v>0</v>
      </c>
      <c r="G108" s="17">
        <v>1</v>
      </c>
      <c r="H108" s="18">
        <v>0</v>
      </c>
      <c r="I108" s="18">
        <v>0</v>
      </c>
      <c r="J108" s="18">
        <v>0</v>
      </c>
      <c r="K108" s="19">
        <v>3</v>
      </c>
      <c r="L108" s="19">
        <v>0</v>
      </c>
      <c r="M108" s="19">
        <v>0</v>
      </c>
      <c r="N108" s="19">
        <v>0</v>
      </c>
      <c r="O108" s="19">
        <v>0</v>
      </c>
      <c r="P108" s="19">
        <v>-14.632</v>
      </c>
      <c r="Q108" s="19">
        <v>0</v>
      </c>
      <c r="R108" s="19">
        <v>-1</v>
      </c>
    </row>
    <row r="109" ht="16.5" spans="1:18">
      <c r="A109" s="17">
        <v>161</v>
      </c>
      <c r="B109" s="17" t="s">
        <v>622</v>
      </c>
      <c r="C109" s="17">
        <v>1351.81</v>
      </c>
      <c r="D109" s="17">
        <v>1604.472</v>
      </c>
      <c r="E109" s="17">
        <v>0</v>
      </c>
      <c r="F109" s="17">
        <v>0</v>
      </c>
      <c r="G109" s="17">
        <v>1</v>
      </c>
      <c r="H109" s="18">
        <v>0</v>
      </c>
      <c r="I109" s="18">
        <v>0</v>
      </c>
      <c r="J109" s="18">
        <v>0</v>
      </c>
      <c r="K109" s="19">
        <v>4</v>
      </c>
      <c r="L109" s="19">
        <v>0</v>
      </c>
      <c r="M109" s="19">
        <v>0</v>
      </c>
      <c r="N109" s="19">
        <v>0</v>
      </c>
      <c r="O109" s="19">
        <v>0</v>
      </c>
      <c r="P109" s="19">
        <v>-34.687</v>
      </c>
      <c r="Q109" s="19">
        <v>0</v>
      </c>
      <c r="R109" s="19">
        <v>0</v>
      </c>
    </row>
    <row r="110" ht="16.5" spans="1:18">
      <c r="A110" s="17">
        <v>171</v>
      </c>
      <c r="B110" s="17" t="s">
        <v>623</v>
      </c>
      <c r="C110" s="17">
        <v>1103.927</v>
      </c>
      <c r="D110" s="17">
        <v>1288.273</v>
      </c>
      <c r="E110" s="17">
        <v>0</v>
      </c>
      <c r="F110" s="17">
        <v>0</v>
      </c>
      <c r="G110" s="17">
        <v>1</v>
      </c>
      <c r="H110" s="18">
        <v>0</v>
      </c>
      <c r="I110" s="18">
        <v>0</v>
      </c>
      <c r="J110" s="18">
        <v>0</v>
      </c>
      <c r="K110" s="19">
        <v>4</v>
      </c>
      <c r="L110" s="19">
        <v>0</v>
      </c>
      <c r="M110" s="19">
        <v>0</v>
      </c>
      <c r="N110" s="19">
        <v>1</v>
      </c>
      <c r="O110" s="19">
        <v>0</v>
      </c>
      <c r="P110" s="19">
        <v>-24.063</v>
      </c>
      <c r="Q110" s="19">
        <v>0</v>
      </c>
      <c r="R110" s="19">
        <v>0</v>
      </c>
    </row>
    <row r="111" ht="16.5" spans="1:18">
      <c r="A111" s="17">
        <v>300</v>
      </c>
      <c r="B111" s="17" t="s">
        <v>23</v>
      </c>
      <c r="C111" s="17">
        <v>3701.145</v>
      </c>
      <c r="D111" s="17">
        <v>4092.082</v>
      </c>
      <c r="E111" s="17">
        <v>0</v>
      </c>
      <c r="F111" s="17">
        <v>0</v>
      </c>
      <c r="G111" s="17">
        <v>1</v>
      </c>
      <c r="H111" s="18">
        <v>0</v>
      </c>
      <c r="I111" s="18">
        <v>0</v>
      </c>
      <c r="J111" s="18">
        <v>0</v>
      </c>
      <c r="K111" s="19">
        <v>4</v>
      </c>
      <c r="L111" s="19">
        <v>0</v>
      </c>
      <c r="M111" s="19">
        <v>0</v>
      </c>
      <c r="N111" s="19">
        <v>1</v>
      </c>
      <c r="O111" s="19">
        <v>0</v>
      </c>
      <c r="P111" s="19">
        <v>-0.367</v>
      </c>
      <c r="Q111" s="19">
        <v>0</v>
      </c>
      <c r="R111" s="19">
        <v>0</v>
      </c>
    </row>
    <row r="112" ht="16.5" spans="1:18">
      <c r="A112" s="17">
        <v>510</v>
      </c>
      <c r="B112" s="17" t="s">
        <v>624</v>
      </c>
      <c r="C112" s="17">
        <v>4327.338</v>
      </c>
      <c r="D112" s="17">
        <v>4843.368</v>
      </c>
      <c r="E112" s="17">
        <v>0</v>
      </c>
      <c r="F112" s="17">
        <v>0</v>
      </c>
      <c r="G112" s="17">
        <v>1</v>
      </c>
      <c r="H112" s="18">
        <v>0</v>
      </c>
      <c r="I112" s="18">
        <v>0</v>
      </c>
      <c r="J112" s="18">
        <v>0</v>
      </c>
      <c r="K112" s="19">
        <v>3</v>
      </c>
      <c r="L112" s="19">
        <v>0</v>
      </c>
      <c r="M112" s="19">
        <v>0</v>
      </c>
      <c r="N112" s="19">
        <v>0</v>
      </c>
      <c r="O112" s="19">
        <v>0</v>
      </c>
      <c r="P112" s="19">
        <v>-12.021</v>
      </c>
      <c r="Q112" s="19">
        <v>0</v>
      </c>
      <c r="R112" s="19">
        <v>0</v>
      </c>
    </row>
    <row r="113" ht="16.5" spans="1:18">
      <c r="A113" s="17">
        <v>687</v>
      </c>
      <c r="B113" s="17" t="s">
        <v>501</v>
      </c>
      <c r="C113" s="17">
        <v>902.863</v>
      </c>
      <c r="D113" s="17">
        <v>1117.397</v>
      </c>
      <c r="E113" s="17">
        <v>0</v>
      </c>
      <c r="F113" s="17">
        <v>0</v>
      </c>
      <c r="G113" s="17">
        <v>1</v>
      </c>
      <c r="H113" s="18">
        <v>0</v>
      </c>
      <c r="I113" s="18">
        <v>0</v>
      </c>
      <c r="J113" s="18">
        <v>0</v>
      </c>
      <c r="K113" s="19">
        <v>4</v>
      </c>
      <c r="L113" s="19">
        <v>0</v>
      </c>
      <c r="M113" s="19">
        <v>0</v>
      </c>
      <c r="N113" s="19">
        <v>1</v>
      </c>
      <c r="O113" s="19">
        <v>0</v>
      </c>
      <c r="P113" s="19">
        <v>-10.89</v>
      </c>
      <c r="Q113" s="19">
        <v>0</v>
      </c>
      <c r="R113" s="19">
        <v>1</v>
      </c>
    </row>
    <row r="114" ht="16.5" spans="1:18">
      <c r="A114" s="17">
        <v>688</v>
      </c>
      <c r="B114" s="17" t="s">
        <v>625</v>
      </c>
      <c r="C114" s="17">
        <v>930.346</v>
      </c>
      <c r="D114" s="17">
        <v>1107.136</v>
      </c>
      <c r="E114" s="17">
        <v>0</v>
      </c>
      <c r="F114" s="17">
        <v>0</v>
      </c>
      <c r="G114" s="17">
        <v>1</v>
      </c>
      <c r="H114" s="18">
        <v>0</v>
      </c>
      <c r="I114" s="18">
        <v>0</v>
      </c>
      <c r="J114" s="18">
        <v>0</v>
      </c>
      <c r="K114" s="19">
        <v>4</v>
      </c>
      <c r="L114" s="19">
        <v>2</v>
      </c>
      <c r="M114" s="19">
        <v>0</v>
      </c>
      <c r="N114" s="19">
        <v>0</v>
      </c>
      <c r="O114" s="19">
        <v>0</v>
      </c>
      <c r="P114" s="19">
        <v>-12.42</v>
      </c>
      <c r="Q114" s="19">
        <v>0</v>
      </c>
      <c r="R114" s="19">
        <v>1</v>
      </c>
    </row>
    <row r="115" ht="16.5" spans="1:18">
      <c r="A115" s="17">
        <v>691</v>
      </c>
      <c r="B115" s="17" t="s">
        <v>626</v>
      </c>
      <c r="C115" s="17">
        <v>1027.289</v>
      </c>
      <c r="D115" s="17">
        <v>1252.924</v>
      </c>
      <c r="E115" s="17">
        <v>0</v>
      </c>
      <c r="F115" s="17">
        <v>0</v>
      </c>
      <c r="G115" s="17">
        <v>1</v>
      </c>
      <c r="H115" s="18">
        <v>0</v>
      </c>
      <c r="I115" s="18">
        <v>0</v>
      </c>
      <c r="J115" s="18">
        <v>0</v>
      </c>
      <c r="K115" s="19">
        <v>4</v>
      </c>
      <c r="L115" s="19">
        <v>0</v>
      </c>
      <c r="M115" s="19">
        <v>0</v>
      </c>
      <c r="N115" s="19">
        <v>0</v>
      </c>
      <c r="O115" s="19">
        <v>0</v>
      </c>
      <c r="P115" s="19">
        <v>-36.13</v>
      </c>
      <c r="Q115" s="19">
        <v>0</v>
      </c>
      <c r="R115" s="19">
        <v>0</v>
      </c>
    </row>
    <row r="116" ht="16.5" spans="1:18">
      <c r="A116" s="17">
        <v>692</v>
      </c>
      <c r="B116" s="17" t="s">
        <v>627</v>
      </c>
      <c r="C116" s="17">
        <v>818.756</v>
      </c>
      <c r="D116" s="17">
        <v>1069.571</v>
      </c>
      <c r="E116" s="17">
        <v>0</v>
      </c>
      <c r="F116" s="17">
        <v>0</v>
      </c>
      <c r="G116" s="17">
        <v>1</v>
      </c>
      <c r="H116" s="18">
        <v>0</v>
      </c>
      <c r="I116" s="18">
        <v>0</v>
      </c>
      <c r="J116" s="18">
        <v>0</v>
      </c>
      <c r="K116" s="19">
        <v>4</v>
      </c>
      <c r="L116" s="19">
        <v>0</v>
      </c>
      <c r="M116" s="19">
        <v>0</v>
      </c>
      <c r="N116" s="19">
        <v>1</v>
      </c>
      <c r="O116" s="19">
        <v>0</v>
      </c>
      <c r="P116" s="19">
        <v>-26.64</v>
      </c>
      <c r="Q116" s="19">
        <v>0</v>
      </c>
      <c r="R116" s="19">
        <v>1</v>
      </c>
    </row>
    <row r="117" ht="16.5" spans="1:18">
      <c r="A117" s="17">
        <v>697</v>
      </c>
      <c r="B117" s="17" t="s">
        <v>628</v>
      </c>
      <c r="C117" s="17">
        <v>902.794</v>
      </c>
      <c r="D117" s="17">
        <v>1135.921</v>
      </c>
      <c r="E117" s="17">
        <v>0</v>
      </c>
      <c r="F117" s="17">
        <v>0</v>
      </c>
      <c r="G117" s="17">
        <v>1</v>
      </c>
      <c r="H117" s="18">
        <v>0</v>
      </c>
      <c r="I117" s="18">
        <v>0</v>
      </c>
      <c r="J117" s="18">
        <v>0</v>
      </c>
      <c r="K117" s="19">
        <v>4</v>
      </c>
      <c r="L117" s="19">
        <v>0</v>
      </c>
      <c r="M117" s="19">
        <v>0</v>
      </c>
      <c r="N117" s="19">
        <v>1</v>
      </c>
      <c r="O117" s="19">
        <v>0</v>
      </c>
      <c r="P117" s="19">
        <v>-57.116</v>
      </c>
      <c r="Q117" s="19">
        <v>0</v>
      </c>
      <c r="R117" s="19">
        <v>0</v>
      </c>
    </row>
    <row r="118" ht="16.5" spans="1:18">
      <c r="A118" s="17">
        <v>802</v>
      </c>
      <c r="B118" s="17" t="s">
        <v>629</v>
      </c>
      <c r="C118" s="17">
        <v>5704.344</v>
      </c>
      <c r="D118" s="17">
        <v>6567.058</v>
      </c>
      <c r="E118" s="17">
        <v>0</v>
      </c>
      <c r="F118" s="17">
        <v>0</v>
      </c>
      <c r="G118" s="17">
        <v>1</v>
      </c>
      <c r="H118" s="18">
        <v>0</v>
      </c>
      <c r="I118" s="18">
        <v>0</v>
      </c>
      <c r="J118" s="18">
        <v>0</v>
      </c>
      <c r="K118" s="19">
        <v>3</v>
      </c>
      <c r="L118" s="19">
        <v>1</v>
      </c>
      <c r="M118" s="19">
        <v>0</v>
      </c>
      <c r="N118" s="19">
        <v>0</v>
      </c>
      <c r="O118" s="19">
        <v>0</v>
      </c>
      <c r="P118" s="19">
        <v>-14.294</v>
      </c>
      <c r="Q118" s="19">
        <v>1</v>
      </c>
      <c r="R118" s="19">
        <v>0</v>
      </c>
    </row>
    <row r="119" ht="16.5" spans="1:18">
      <c r="A119" s="17">
        <v>805</v>
      </c>
      <c r="B119" s="17" t="s">
        <v>630</v>
      </c>
      <c r="C119" s="17">
        <v>4563.803</v>
      </c>
      <c r="D119" s="17">
        <v>5065.084</v>
      </c>
      <c r="E119" s="17">
        <v>0</v>
      </c>
      <c r="F119" s="17">
        <v>0</v>
      </c>
      <c r="G119" s="17">
        <v>1</v>
      </c>
      <c r="H119" s="18">
        <v>0</v>
      </c>
      <c r="I119" s="18">
        <v>0</v>
      </c>
      <c r="J119" s="18">
        <v>0</v>
      </c>
      <c r="K119" s="19">
        <v>4</v>
      </c>
      <c r="L119" s="19">
        <v>1</v>
      </c>
      <c r="M119" s="19">
        <v>0</v>
      </c>
      <c r="N119" s="19">
        <v>0</v>
      </c>
      <c r="O119" s="19">
        <v>0</v>
      </c>
      <c r="P119" s="19">
        <v>-18.717</v>
      </c>
      <c r="Q119" s="19">
        <v>0</v>
      </c>
      <c r="R119" s="19">
        <v>-1</v>
      </c>
    </row>
    <row r="120" ht="16.5" spans="1:18">
      <c r="A120" s="17">
        <v>812</v>
      </c>
      <c r="B120" s="17" t="s">
        <v>631</v>
      </c>
      <c r="C120" s="17">
        <v>5497.531</v>
      </c>
      <c r="D120" s="17">
        <v>6417.356</v>
      </c>
      <c r="E120" s="17">
        <v>0</v>
      </c>
      <c r="F120" s="17">
        <v>0</v>
      </c>
      <c r="G120" s="17">
        <v>1</v>
      </c>
      <c r="H120" s="18">
        <v>0</v>
      </c>
      <c r="I120" s="18">
        <v>0</v>
      </c>
      <c r="J120" s="18">
        <v>0</v>
      </c>
      <c r="K120" s="19">
        <v>4</v>
      </c>
      <c r="L120" s="19">
        <v>2</v>
      </c>
      <c r="M120" s="19">
        <v>0</v>
      </c>
      <c r="N120" s="19">
        <v>0</v>
      </c>
      <c r="O120" s="19">
        <v>0</v>
      </c>
      <c r="P120" s="19">
        <v>-28.388</v>
      </c>
      <c r="Q120" s="19">
        <v>0</v>
      </c>
      <c r="R120" s="19">
        <v>0</v>
      </c>
    </row>
    <row r="121" ht="16.5" spans="1:18">
      <c r="A121" s="17">
        <v>813</v>
      </c>
      <c r="B121" s="17" t="s">
        <v>632</v>
      </c>
      <c r="C121" s="17">
        <v>2557.052</v>
      </c>
      <c r="D121" s="17">
        <v>2917.689</v>
      </c>
      <c r="E121" s="17">
        <v>0</v>
      </c>
      <c r="F121" s="17">
        <v>0</v>
      </c>
      <c r="G121" s="17">
        <v>1</v>
      </c>
      <c r="H121" s="18">
        <v>0</v>
      </c>
      <c r="I121" s="18">
        <v>0</v>
      </c>
      <c r="J121" s="18">
        <v>0</v>
      </c>
      <c r="K121" s="19">
        <v>4</v>
      </c>
      <c r="L121" s="19">
        <v>0</v>
      </c>
      <c r="M121" s="19">
        <v>0</v>
      </c>
      <c r="N121" s="19">
        <v>1</v>
      </c>
      <c r="O121" s="19">
        <v>-1</v>
      </c>
      <c r="P121" s="19">
        <v>-1.038</v>
      </c>
      <c r="Q121" s="19">
        <v>0</v>
      </c>
      <c r="R121" s="19">
        <v>0</v>
      </c>
    </row>
    <row r="122" ht="16.5" spans="1:18">
      <c r="A122" s="17">
        <v>820</v>
      </c>
      <c r="B122" s="17" t="s">
        <v>633</v>
      </c>
      <c r="C122" s="17">
        <v>3907.049</v>
      </c>
      <c r="D122" s="17">
        <v>4655.89</v>
      </c>
      <c r="E122" s="17">
        <v>0</v>
      </c>
      <c r="F122" s="17">
        <v>0</v>
      </c>
      <c r="G122" s="17">
        <v>1</v>
      </c>
      <c r="H122" s="18">
        <v>0</v>
      </c>
      <c r="I122" s="18">
        <v>0</v>
      </c>
      <c r="J122" s="18">
        <v>0</v>
      </c>
      <c r="K122" s="19">
        <v>3</v>
      </c>
      <c r="L122" s="19">
        <v>0</v>
      </c>
      <c r="M122" s="19">
        <v>0</v>
      </c>
      <c r="N122" s="19">
        <v>0</v>
      </c>
      <c r="O122" s="19">
        <v>0</v>
      </c>
      <c r="P122" s="19">
        <v>-20.944</v>
      </c>
      <c r="Q122" s="19">
        <v>0</v>
      </c>
      <c r="R122" s="19">
        <v>0</v>
      </c>
    </row>
    <row r="123" ht="16.5" spans="1:18">
      <c r="A123" s="17">
        <v>821</v>
      </c>
      <c r="B123" s="17" t="s">
        <v>634</v>
      </c>
      <c r="C123" s="17">
        <v>6142.01</v>
      </c>
      <c r="D123" s="17">
        <v>6633.166</v>
      </c>
      <c r="E123" s="17">
        <v>0</v>
      </c>
      <c r="F123" s="17">
        <v>0</v>
      </c>
      <c r="G123" s="17">
        <v>1</v>
      </c>
      <c r="H123" s="18">
        <v>0</v>
      </c>
      <c r="I123" s="18">
        <v>0</v>
      </c>
      <c r="J123" s="18">
        <v>0</v>
      </c>
      <c r="K123" s="19">
        <v>4</v>
      </c>
      <c r="L123" s="19">
        <v>0</v>
      </c>
      <c r="M123" s="19">
        <v>0</v>
      </c>
      <c r="N123" s="19">
        <v>1</v>
      </c>
      <c r="O123" s="19">
        <v>0</v>
      </c>
      <c r="P123" s="19">
        <v>-16.419</v>
      </c>
      <c r="Q123" s="19">
        <v>0</v>
      </c>
      <c r="R123" s="19">
        <v>0</v>
      </c>
    </row>
    <row r="124" ht="16.5" spans="1:18">
      <c r="A124" s="17">
        <v>823</v>
      </c>
      <c r="B124" s="17" t="s">
        <v>635</v>
      </c>
      <c r="C124" s="17">
        <v>5407.457</v>
      </c>
      <c r="D124" s="17">
        <v>6190.763</v>
      </c>
      <c r="E124" s="17">
        <v>0</v>
      </c>
      <c r="F124" s="17">
        <v>0</v>
      </c>
      <c r="G124" s="17">
        <v>1</v>
      </c>
      <c r="H124" s="18">
        <v>0</v>
      </c>
      <c r="I124" s="18">
        <v>0</v>
      </c>
      <c r="J124" s="18">
        <v>0</v>
      </c>
      <c r="K124" s="19">
        <v>3</v>
      </c>
      <c r="L124" s="19">
        <v>0</v>
      </c>
      <c r="M124" s="19">
        <v>0</v>
      </c>
      <c r="N124" s="19">
        <v>0</v>
      </c>
      <c r="O124" s="19">
        <v>0</v>
      </c>
      <c r="P124" s="19">
        <v>-29.46</v>
      </c>
      <c r="Q124" s="19">
        <v>0</v>
      </c>
      <c r="R124" s="19">
        <v>0</v>
      </c>
    </row>
    <row r="125" ht="16.5" spans="1:18">
      <c r="A125" s="17">
        <v>824</v>
      </c>
      <c r="B125" s="17" t="s">
        <v>636</v>
      </c>
      <c r="C125" s="17">
        <v>1978.247</v>
      </c>
      <c r="D125" s="17">
        <v>2160.827</v>
      </c>
      <c r="E125" s="17">
        <v>0</v>
      </c>
      <c r="F125" s="17">
        <v>0</v>
      </c>
      <c r="G125" s="17">
        <v>1</v>
      </c>
      <c r="H125" s="18">
        <v>0</v>
      </c>
      <c r="I125" s="18">
        <v>0</v>
      </c>
      <c r="J125" s="18">
        <v>0</v>
      </c>
      <c r="K125" s="19">
        <v>4</v>
      </c>
      <c r="L125" s="19">
        <v>0</v>
      </c>
      <c r="M125" s="19">
        <v>0</v>
      </c>
      <c r="N125" s="19">
        <v>1</v>
      </c>
      <c r="O125" s="19">
        <v>0</v>
      </c>
      <c r="P125" s="19">
        <v>-29.604</v>
      </c>
      <c r="Q125" s="19">
        <v>0</v>
      </c>
      <c r="R125" s="19">
        <v>0</v>
      </c>
    </row>
    <row r="126" ht="16.5" spans="1:18">
      <c r="A126" s="17">
        <v>825</v>
      </c>
      <c r="B126" s="17" t="s">
        <v>637</v>
      </c>
      <c r="C126" s="17">
        <v>3037.136</v>
      </c>
      <c r="D126" s="17">
        <v>3316.159</v>
      </c>
      <c r="E126" s="17">
        <v>0</v>
      </c>
      <c r="F126" s="17">
        <v>0</v>
      </c>
      <c r="G126" s="17">
        <v>1</v>
      </c>
      <c r="H126" s="18">
        <v>0</v>
      </c>
      <c r="I126" s="18">
        <v>0</v>
      </c>
      <c r="J126" s="18">
        <v>0</v>
      </c>
      <c r="K126" s="19">
        <v>2</v>
      </c>
      <c r="L126" s="19">
        <v>0</v>
      </c>
      <c r="M126" s="19">
        <v>0</v>
      </c>
      <c r="N126" s="19">
        <v>0</v>
      </c>
      <c r="O126" s="19">
        <v>0</v>
      </c>
      <c r="P126" s="19">
        <v>-0.837</v>
      </c>
      <c r="Q126" s="19">
        <v>0</v>
      </c>
      <c r="R126" s="19">
        <v>0</v>
      </c>
    </row>
    <row r="127" ht="16.5" spans="1:18">
      <c r="A127" s="17">
        <v>827</v>
      </c>
      <c r="B127" s="17" t="s">
        <v>638</v>
      </c>
      <c r="C127" s="17">
        <v>1349.228</v>
      </c>
      <c r="D127" s="17">
        <v>1586.644</v>
      </c>
      <c r="E127" s="17">
        <v>0</v>
      </c>
      <c r="F127" s="17">
        <v>0</v>
      </c>
      <c r="G127" s="17">
        <v>1</v>
      </c>
      <c r="H127" s="18">
        <v>0</v>
      </c>
      <c r="I127" s="18">
        <v>0</v>
      </c>
      <c r="J127" s="18">
        <v>0</v>
      </c>
      <c r="K127" s="19">
        <v>3</v>
      </c>
      <c r="L127" s="19">
        <v>0</v>
      </c>
      <c r="M127" s="19">
        <v>0</v>
      </c>
      <c r="N127" s="19">
        <v>0</v>
      </c>
      <c r="O127" s="19">
        <v>0</v>
      </c>
      <c r="P127" s="19">
        <v>-15.169</v>
      </c>
      <c r="Q127" s="19">
        <v>0</v>
      </c>
      <c r="R127" s="19">
        <v>0</v>
      </c>
    </row>
    <row r="128" ht="16.5" spans="1:18">
      <c r="A128" s="17">
        <v>828</v>
      </c>
      <c r="B128" s="17" t="s">
        <v>639</v>
      </c>
      <c r="C128" s="17">
        <v>2201.018</v>
      </c>
      <c r="D128" s="17">
        <v>2613.329</v>
      </c>
      <c r="E128" s="17">
        <v>0</v>
      </c>
      <c r="F128" s="17">
        <v>0</v>
      </c>
      <c r="G128" s="17">
        <v>1</v>
      </c>
      <c r="H128" s="18">
        <v>0</v>
      </c>
      <c r="I128" s="18">
        <v>0</v>
      </c>
      <c r="J128" s="18">
        <v>0</v>
      </c>
      <c r="K128" s="19">
        <v>4</v>
      </c>
      <c r="L128" s="19">
        <v>0</v>
      </c>
      <c r="M128" s="19">
        <v>0</v>
      </c>
      <c r="N128" s="19">
        <v>0</v>
      </c>
      <c r="O128" s="19">
        <v>0</v>
      </c>
      <c r="P128" s="19">
        <v>-32.017</v>
      </c>
      <c r="Q128" s="19">
        <v>0</v>
      </c>
      <c r="R128" s="19">
        <v>0</v>
      </c>
    </row>
    <row r="129" ht="16.5" spans="1:18">
      <c r="A129" s="17">
        <v>846</v>
      </c>
      <c r="B129" s="17" t="s">
        <v>640</v>
      </c>
      <c r="C129" s="17">
        <v>1173.688</v>
      </c>
      <c r="D129" s="17">
        <v>1325.709</v>
      </c>
      <c r="E129" s="17">
        <v>0</v>
      </c>
      <c r="F129" s="17">
        <v>0</v>
      </c>
      <c r="G129" s="17">
        <v>1</v>
      </c>
      <c r="H129" s="18">
        <v>0</v>
      </c>
      <c r="I129" s="18">
        <v>0</v>
      </c>
      <c r="J129" s="18">
        <v>0</v>
      </c>
      <c r="K129" s="19">
        <v>1</v>
      </c>
      <c r="L129" s="19">
        <v>0</v>
      </c>
      <c r="M129" s="19">
        <v>0</v>
      </c>
      <c r="N129" s="19">
        <v>-1</v>
      </c>
      <c r="O129" s="19">
        <v>0</v>
      </c>
      <c r="P129" s="19">
        <v>-13.557</v>
      </c>
      <c r="Q129" s="19">
        <v>0</v>
      </c>
      <c r="R129" s="19">
        <v>0</v>
      </c>
    </row>
    <row r="130" ht="16.5" spans="1:18">
      <c r="A130" s="17">
        <v>847</v>
      </c>
      <c r="B130" s="17" t="s">
        <v>499</v>
      </c>
      <c r="C130" s="17">
        <v>2672.997</v>
      </c>
      <c r="D130" s="17">
        <v>3025.475</v>
      </c>
      <c r="E130" s="17">
        <v>0</v>
      </c>
      <c r="F130" s="17">
        <v>0</v>
      </c>
      <c r="G130" s="17">
        <v>1</v>
      </c>
      <c r="H130" s="18">
        <v>0</v>
      </c>
      <c r="I130" s="18">
        <v>0</v>
      </c>
      <c r="J130" s="18">
        <v>0</v>
      </c>
      <c r="K130" s="19">
        <v>2</v>
      </c>
      <c r="L130" s="19">
        <v>0</v>
      </c>
      <c r="M130" s="19">
        <v>1</v>
      </c>
      <c r="N130" s="19">
        <v>-1</v>
      </c>
      <c r="O130" s="19">
        <v>0</v>
      </c>
      <c r="P130" s="19">
        <v>-25.703</v>
      </c>
      <c r="Q130" s="19">
        <v>0</v>
      </c>
      <c r="R130" s="19">
        <v>0</v>
      </c>
    </row>
    <row r="131" ht="16.5" spans="1:18">
      <c r="A131" s="17">
        <v>849</v>
      </c>
      <c r="B131" s="17" t="s">
        <v>641</v>
      </c>
      <c r="C131" s="17">
        <v>9003.864</v>
      </c>
      <c r="D131" s="17">
        <v>10962.047</v>
      </c>
      <c r="E131" s="17">
        <v>0</v>
      </c>
      <c r="F131" s="17">
        <v>0</v>
      </c>
      <c r="G131" s="17">
        <v>1</v>
      </c>
      <c r="H131" s="18">
        <v>0</v>
      </c>
      <c r="I131" s="18">
        <v>0</v>
      </c>
      <c r="J131" s="18">
        <v>0</v>
      </c>
      <c r="K131" s="19">
        <v>4</v>
      </c>
      <c r="L131" s="19">
        <v>0</v>
      </c>
      <c r="M131" s="19">
        <v>0</v>
      </c>
      <c r="N131" s="19">
        <v>1</v>
      </c>
      <c r="O131" s="19">
        <v>0</v>
      </c>
      <c r="P131" s="19">
        <v>-7.419</v>
      </c>
      <c r="Q131" s="19">
        <v>0</v>
      </c>
      <c r="R131" s="19">
        <v>0</v>
      </c>
    </row>
    <row r="132" ht="16.5" spans="1:18">
      <c r="A132" s="17">
        <v>851</v>
      </c>
      <c r="B132" s="17" t="s">
        <v>642</v>
      </c>
      <c r="C132" s="17">
        <v>13901.083</v>
      </c>
      <c r="D132" s="17">
        <v>15564.72</v>
      </c>
      <c r="E132" s="17">
        <v>0</v>
      </c>
      <c r="F132" s="17">
        <v>0</v>
      </c>
      <c r="G132" s="17">
        <v>1</v>
      </c>
      <c r="H132" s="18">
        <v>0</v>
      </c>
      <c r="I132" s="18">
        <v>0</v>
      </c>
      <c r="J132" s="18">
        <v>0</v>
      </c>
      <c r="K132" s="19">
        <v>4</v>
      </c>
      <c r="L132" s="19">
        <v>0</v>
      </c>
      <c r="M132" s="19">
        <v>0</v>
      </c>
      <c r="N132" s="19">
        <v>1</v>
      </c>
      <c r="O132" s="19">
        <v>0</v>
      </c>
      <c r="P132" s="19">
        <v>-6.647</v>
      </c>
      <c r="Q132" s="19">
        <v>0</v>
      </c>
      <c r="R132" s="19">
        <v>1</v>
      </c>
    </row>
    <row r="133" ht="16.5" spans="1:18">
      <c r="A133" s="17">
        <v>853</v>
      </c>
      <c r="B133" s="17" t="s">
        <v>643</v>
      </c>
      <c r="C133" s="17">
        <v>1289.881</v>
      </c>
      <c r="D133" s="17">
        <v>1416.186</v>
      </c>
      <c r="E133" s="17">
        <v>0</v>
      </c>
      <c r="F133" s="17">
        <v>0</v>
      </c>
      <c r="G133" s="17">
        <v>1</v>
      </c>
      <c r="H133" s="18">
        <v>0</v>
      </c>
      <c r="I133" s="18">
        <v>0</v>
      </c>
      <c r="J133" s="18">
        <v>0</v>
      </c>
      <c r="K133" s="19">
        <v>4</v>
      </c>
      <c r="L133" s="19">
        <v>0</v>
      </c>
      <c r="M133" s="19">
        <v>0</v>
      </c>
      <c r="N133" s="19">
        <v>1</v>
      </c>
      <c r="O133" s="19">
        <v>0</v>
      </c>
      <c r="P133" s="19">
        <v>-7.816</v>
      </c>
      <c r="Q133" s="19">
        <v>0</v>
      </c>
      <c r="R133" s="19">
        <v>0</v>
      </c>
    </row>
    <row r="134" ht="16.5" spans="1:18">
      <c r="A134" s="17">
        <v>855</v>
      </c>
      <c r="B134" s="17" t="s">
        <v>644</v>
      </c>
      <c r="C134" s="17">
        <v>1302.614</v>
      </c>
      <c r="D134" s="17">
        <v>1443.793</v>
      </c>
      <c r="E134" s="17">
        <v>0</v>
      </c>
      <c r="F134" s="17">
        <v>0</v>
      </c>
      <c r="G134" s="17">
        <v>1</v>
      </c>
      <c r="H134" s="18">
        <v>0</v>
      </c>
      <c r="I134" s="18">
        <v>0</v>
      </c>
      <c r="J134" s="18">
        <v>0</v>
      </c>
      <c r="K134" s="19">
        <v>4</v>
      </c>
      <c r="L134" s="19">
        <v>0</v>
      </c>
      <c r="M134" s="19">
        <v>0</v>
      </c>
      <c r="N134" s="19">
        <v>1</v>
      </c>
      <c r="O134" s="19">
        <v>0</v>
      </c>
      <c r="P134" s="19">
        <v>-58.616</v>
      </c>
      <c r="Q134" s="19">
        <v>0</v>
      </c>
      <c r="R134" s="19">
        <v>0</v>
      </c>
    </row>
    <row r="135" ht="16.5" spans="1:18">
      <c r="A135" s="17">
        <v>856</v>
      </c>
      <c r="B135" s="17" t="s">
        <v>645</v>
      </c>
      <c r="C135" s="17">
        <v>5209.802</v>
      </c>
      <c r="D135" s="17">
        <v>6034.515</v>
      </c>
      <c r="E135" s="17">
        <v>0</v>
      </c>
      <c r="F135" s="17">
        <v>0</v>
      </c>
      <c r="G135" s="17">
        <v>1</v>
      </c>
      <c r="H135" s="18">
        <v>0</v>
      </c>
      <c r="I135" s="18">
        <v>0</v>
      </c>
      <c r="J135" s="18">
        <v>0</v>
      </c>
      <c r="K135" s="19">
        <v>4</v>
      </c>
      <c r="L135" s="19">
        <v>0</v>
      </c>
      <c r="M135" s="19">
        <v>0</v>
      </c>
      <c r="N135" s="19">
        <v>1</v>
      </c>
      <c r="O135" s="19">
        <v>0</v>
      </c>
      <c r="P135" s="19">
        <v>-6.82</v>
      </c>
      <c r="Q135" s="19">
        <v>0</v>
      </c>
      <c r="R135" s="19">
        <v>0</v>
      </c>
    </row>
    <row r="136" ht="16.5" spans="1:18">
      <c r="A136" s="17">
        <v>859</v>
      </c>
      <c r="B136" s="17" t="s">
        <v>646</v>
      </c>
      <c r="C136" s="17">
        <v>1539.732</v>
      </c>
      <c r="D136" s="17">
        <v>1680.72</v>
      </c>
      <c r="E136" s="17">
        <v>0</v>
      </c>
      <c r="F136" s="17">
        <v>0</v>
      </c>
      <c r="G136" s="17">
        <v>1</v>
      </c>
      <c r="H136" s="18">
        <v>0</v>
      </c>
      <c r="I136" s="18">
        <v>0</v>
      </c>
      <c r="J136" s="18">
        <v>0</v>
      </c>
      <c r="K136" s="19">
        <v>4</v>
      </c>
      <c r="L136" s="19">
        <v>0</v>
      </c>
      <c r="M136" s="19">
        <v>0</v>
      </c>
      <c r="N136" s="19">
        <v>1</v>
      </c>
      <c r="O136" s="19">
        <v>0</v>
      </c>
      <c r="P136" s="19">
        <v>-6.748</v>
      </c>
      <c r="Q136" s="19">
        <v>0</v>
      </c>
      <c r="R136" s="19">
        <v>0</v>
      </c>
    </row>
    <row r="137" ht="16.5" spans="1:18">
      <c r="A137" s="17">
        <v>860</v>
      </c>
      <c r="B137" s="17" t="s">
        <v>647</v>
      </c>
      <c r="C137" s="17">
        <v>1100.942</v>
      </c>
      <c r="D137" s="17">
        <v>1211.359</v>
      </c>
      <c r="E137" s="17">
        <v>0</v>
      </c>
      <c r="F137" s="17">
        <v>0</v>
      </c>
      <c r="G137" s="17">
        <v>1</v>
      </c>
      <c r="H137" s="18">
        <v>0</v>
      </c>
      <c r="I137" s="18">
        <v>0</v>
      </c>
      <c r="J137" s="18">
        <v>0</v>
      </c>
      <c r="K137" s="19">
        <v>4</v>
      </c>
      <c r="L137" s="19">
        <v>0</v>
      </c>
      <c r="M137" s="19">
        <v>0</v>
      </c>
      <c r="N137" s="19">
        <v>1</v>
      </c>
      <c r="O137" s="19">
        <v>0</v>
      </c>
      <c r="P137" s="19">
        <v>-13.997</v>
      </c>
      <c r="Q137" s="19">
        <v>0</v>
      </c>
      <c r="R137" s="19">
        <v>0</v>
      </c>
    </row>
    <row r="138" ht="16.5" spans="1:18">
      <c r="A138" s="17">
        <v>861</v>
      </c>
      <c r="B138" s="17" t="s">
        <v>648</v>
      </c>
      <c r="C138" s="17">
        <v>2266.492</v>
      </c>
      <c r="D138" s="17">
        <v>2528.888</v>
      </c>
      <c r="E138" s="17">
        <v>0</v>
      </c>
      <c r="F138" s="17">
        <v>0</v>
      </c>
      <c r="G138" s="17">
        <v>1</v>
      </c>
      <c r="H138" s="18">
        <v>0</v>
      </c>
      <c r="I138" s="18">
        <v>0</v>
      </c>
      <c r="J138" s="18">
        <v>0</v>
      </c>
      <c r="K138" s="19">
        <v>3</v>
      </c>
      <c r="L138" s="19">
        <v>0</v>
      </c>
      <c r="M138" s="19">
        <v>0</v>
      </c>
      <c r="N138" s="19">
        <v>0</v>
      </c>
      <c r="O138" s="19">
        <v>0</v>
      </c>
      <c r="P138" s="19">
        <v>-2.891</v>
      </c>
      <c r="Q138" s="19">
        <v>0</v>
      </c>
      <c r="R138" s="19">
        <v>0</v>
      </c>
    </row>
    <row r="139" ht="16.5" spans="1:18">
      <c r="A139" s="17">
        <v>865</v>
      </c>
      <c r="B139" s="17" t="s">
        <v>649</v>
      </c>
      <c r="C139" s="17">
        <v>1284.828</v>
      </c>
      <c r="D139" s="17">
        <v>1460.556</v>
      </c>
      <c r="E139" s="17">
        <v>0</v>
      </c>
      <c r="F139" s="17">
        <v>0</v>
      </c>
      <c r="G139" s="17">
        <v>1</v>
      </c>
      <c r="H139" s="18">
        <v>0</v>
      </c>
      <c r="I139" s="18">
        <v>0</v>
      </c>
      <c r="J139" s="18">
        <v>0</v>
      </c>
      <c r="K139" s="19">
        <v>1</v>
      </c>
      <c r="L139" s="19">
        <v>0</v>
      </c>
      <c r="M139" s="19">
        <v>0</v>
      </c>
      <c r="N139" s="19">
        <v>0</v>
      </c>
      <c r="O139" s="19">
        <v>0</v>
      </c>
      <c r="P139" s="19">
        <v>-7.128</v>
      </c>
      <c r="Q139" s="19">
        <v>0</v>
      </c>
      <c r="R139" s="19">
        <v>0</v>
      </c>
    </row>
    <row r="140" ht="16.5" spans="1:18">
      <c r="A140" s="17">
        <v>888</v>
      </c>
      <c r="B140" s="17" t="s">
        <v>650</v>
      </c>
      <c r="C140" s="17">
        <v>3505.434</v>
      </c>
      <c r="D140" s="17">
        <v>3872.865</v>
      </c>
      <c r="E140" s="17">
        <v>0</v>
      </c>
      <c r="F140" s="17">
        <v>0</v>
      </c>
      <c r="G140" s="17">
        <v>1</v>
      </c>
      <c r="H140" s="18">
        <v>0</v>
      </c>
      <c r="I140" s="18">
        <v>0</v>
      </c>
      <c r="J140" s="18">
        <v>0</v>
      </c>
      <c r="K140" s="19">
        <v>3</v>
      </c>
      <c r="L140" s="19">
        <v>0</v>
      </c>
      <c r="M140" s="19">
        <v>0</v>
      </c>
      <c r="N140" s="19">
        <v>0</v>
      </c>
      <c r="O140" s="19">
        <v>0</v>
      </c>
      <c r="P140" s="19">
        <v>-8.172</v>
      </c>
      <c r="Q140" s="19">
        <v>0</v>
      </c>
      <c r="R140" s="19">
        <v>1</v>
      </c>
    </row>
    <row r="141" ht="16.5" spans="1:18">
      <c r="A141" s="17">
        <v>891</v>
      </c>
      <c r="B141" s="17" t="s">
        <v>651</v>
      </c>
      <c r="C141" s="17">
        <v>1275.295</v>
      </c>
      <c r="D141" s="17">
        <v>1522.916</v>
      </c>
      <c r="E141" s="17">
        <v>0</v>
      </c>
      <c r="F141" s="17">
        <v>0</v>
      </c>
      <c r="G141" s="17">
        <v>1</v>
      </c>
      <c r="H141" s="18">
        <v>0</v>
      </c>
      <c r="I141" s="18">
        <v>0</v>
      </c>
      <c r="J141" s="18">
        <v>0</v>
      </c>
      <c r="K141" s="19">
        <v>1</v>
      </c>
      <c r="L141" s="19">
        <v>0</v>
      </c>
      <c r="M141" s="19">
        <v>1</v>
      </c>
      <c r="N141" s="19">
        <v>-1</v>
      </c>
      <c r="O141" s="19">
        <v>0</v>
      </c>
      <c r="P141" s="19">
        <v>-6.74</v>
      </c>
      <c r="Q141" s="19">
        <v>0</v>
      </c>
      <c r="R141" s="19">
        <v>0</v>
      </c>
    </row>
    <row r="142" ht="16.5" spans="1:18">
      <c r="A142" s="17">
        <v>901</v>
      </c>
      <c r="B142" s="17" t="s">
        <v>652</v>
      </c>
      <c r="C142" s="17">
        <v>5570.967</v>
      </c>
      <c r="D142" s="17">
        <v>6168.693</v>
      </c>
      <c r="E142" s="17">
        <v>0</v>
      </c>
      <c r="F142" s="17">
        <v>0</v>
      </c>
      <c r="G142" s="17">
        <v>1</v>
      </c>
      <c r="H142" s="18">
        <v>0</v>
      </c>
      <c r="I142" s="18">
        <v>0</v>
      </c>
      <c r="J142" s="18">
        <v>0</v>
      </c>
      <c r="K142" s="19">
        <v>1</v>
      </c>
      <c r="L142" s="19">
        <v>0</v>
      </c>
      <c r="M142" s="19">
        <v>0</v>
      </c>
      <c r="N142" s="19">
        <v>0</v>
      </c>
      <c r="O142" s="19">
        <v>0</v>
      </c>
      <c r="P142" s="19">
        <v>-5.438</v>
      </c>
      <c r="Q142" s="19">
        <v>0</v>
      </c>
      <c r="R142" s="19">
        <v>0</v>
      </c>
    </row>
    <row r="143" ht="16.5" spans="1:18">
      <c r="A143" s="17">
        <v>902</v>
      </c>
      <c r="B143" s="17" t="s">
        <v>653</v>
      </c>
      <c r="C143" s="17">
        <v>4700.607</v>
      </c>
      <c r="D143" s="17">
        <v>5412.069</v>
      </c>
      <c r="E143" s="17">
        <v>0</v>
      </c>
      <c r="F143" s="17">
        <v>0</v>
      </c>
      <c r="G143" s="17">
        <v>1</v>
      </c>
      <c r="H143" s="18">
        <v>0</v>
      </c>
      <c r="I143" s="18">
        <v>0</v>
      </c>
      <c r="J143" s="18">
        <v>0</v>
      </c>
      <c r="K143" s="19">
        <v>4</v>
      </c>
      <c r="L143" s="19">
        <v>0</v>
      </c>
      <c r="M143" s="19">
        <v>0</v>
      </c>
      <c r="N143" s="19">
        <v>0</v>
      </c>
      <c r="O143" s="19">
        <v>0</v>
      </c>
      <c r="P143" s="19">
        <v>-9.659</v>
      </c>
      <c r="Q143" s="19">
        <v>0</v>
      </c>
      <c r="R143" s="19">
        <v>1</v>
      </c>
    </row>
    <row r="144" ht="16.5" spans="1:18">
      <c r="A144" s="17">
        <v>903</v>
      </c>
      <c r="B144" s="17" t="s">
        <v>68</v>
      </c>
      <c r="C144" s="17">
        <v>3522.938</v>
      </c>
      <c r="D144" s="17">
        <v>3886.722</v>
      </c>
      <c r="E144" s="17">
        <v>0</v>
      </c>
      <c r="F144" s="17">
        <v>0</v>
      </c>
      <c r="G144" s="17">
        <v>1</v>
      </c>
      <c r="H144" s="18">
        <v>0</v>
      </c>
      <c r="I144" s="18">
        <v>0</v>
      </c>
      <c r="J144" s="18">
        <v>0</v>
      </c>
      <c r="K144" s="19">
        <v>2</v>
      </c>
      <c r="L144" s="19">
        <v>0</v>
      </c>
      <c r="M144" s="19">
        <v>0</v>
      </c>
      <c r="N144" s="19">
        <v>0</v>
      </c>
      <c r="O144" s="19">
        <v>0</v>
      </c>
      <c r="P144" s="19">
        <v>-8.67</v>
      </c>
      <c r="Q144" s="19">
        <v>1</v>
      </c>
      <c r="R144" s="19">
        <v>0</v>
      </c>
    </row>
    <row r="145" ht="16.5" spans="1:18">
      <c r="A145" s="17">
        <v>904</v>
      </c>
      <c r="B145" s="17" t="s">
        <v>654</v>
      </c>
      <c r="C145" s="17">
        <v>4300.137</v>
      </c>
      <c r="D145" s="17">
        <v>4811.232</v>
      </c>
      <c r="E145" s="17">
        <v>0</v>
      </c>
      <c r="F145" s="17">
        <v>0</v>
      </c>
      <c r="G145" s="17">
        <v>1</v>
      </c>
      <c r="H145" s="18">
        <v>0</v>
      </c>
      <c r="I145" s="18">
        <v>0</v>
      </c>
      <c r="J145" s="18">
        <v>0</v>
      </c>
      <c r="K145" s="19">
        <v>3</v>
      </c>
      <c r="L145" s="19">
        <v>2</v>
      </c>
      <c r="M145" s="19">
        <v>0</v>
      </c>
      <c r="N145" s="19">
        <v>-1</v>
      </c>
      <c r="O145" s="19">
        <v>0</v>
      </c>
      <c r="P145" s="19">
        <v>-4.654</v>
      </c>
      <c r="Q145" s="19">
        <v>0</v>
      </c>
      <c r="R145" s="19">
        <v>0</v>
      </c>
    </row>
    <row r="146" ht="16.5" spans="1:18">
      <c r="A146" s="17">
        <v>905</v>
      </c>
      <c r="B146" s="17" t="s">
        <v>96</v>
      </c>
      <c r="C146" s="17">
        <v>5317.475</v>
      </c>
      <c r="D146" s="17">
        <v>6201.778</v>
      </c>
      <c r="E146" s="17">
        <v>0</v>
      </c>
      <c r="F146" s="17">
        <v>0</v>
      </c>
      <c r="G146" s="17">
        <v>1</v>
      </c>
      <c r="H146" s="18">
        <v>0</v>
      </c>
      <c r="I146" s="18">
        <v>0</v>
      </c>
      <c r="J146" s="18">
        <v>0</v>
      </c>
      <c r="K146" s="19">
        <v>3</v>
      </c>
      <c r="L146" s="19">
        <v>0</v>
      </c>
      <c r="M146" s="19">
        <v>0</v>
      </c>
      <c r="N146" s="19">
        <v>0</v>
      </c>
      <c r="O146" s="19">
        <v>0</v>
      </c>
      <c r="P146" s="19">
        <v>-8.29</v>
      </c>
      <c r="Q146" s="19">
        <v>0</v>
      </c>
      <c r="R146" s="19">
        <v>0</v>
      </c>
    </row>
    <row r="147" ht="16.5" spans="1:18">
      <c r="A147" s="17">
        <v>906</v>
      </c>
      <c r="B147" s="17" t="s">
        <v>5</v>
      </c>
      <c r="C147" s="17">
        <v>3962.539</v>
      </c>
      <c r="D147" s="17">
        <v>4436.813</v>
      </c>
      <c r="E147" s="17">
        <v>0</v>
      </c>
      <c r="F147" s="17">
        <v>0</v>
      </c>
      <c r="G147" s="17">
        <v>1</v>
      </c>
      <c r="H147" s="18">
        <v>0</v>
      </c>
      <c r="I147" s="18">
        <v>0</v>
      </c>
      <c r="J147" s="18">
        <v>0</v>
      </c>
      <c r="K147" s="19">
        <v>2</v>
      </c>
      <c r="L147" s="19">
        <v>0</v>
      </c>
      <c r="M147" s="19">
        <v>0</v>
      </c>
      <c r="N147" s="19">
        <v>0</v>
      </c>
      <c r="O147" s="19">
        <v>0</v>
      </c>
      <c r="P147" s="19">
        <v>-12.241</v>
      </c>
      <c r="Q147" s="19">
        <v>0</v>
      </c>
      <c r="R147" s="19">
        <v>0</v>
      </c>
    </row>
    <row r="148" ht="16.5" spans="1:18">
      <c r="A148" s="17">
        <v>907</v>
      </c>
      <c r="B148" s="17" t="s">
        <v>655</v>
      </c>
      <c r="C148" s="17">
        <v>4766.15</v>
      </c>
      <c r="D148" s="17">
        <v>5436.91</v>
      </c>
      <c r="E148" s="17">
        <v>0</v>
      </c>
      <c r="F148" s="17">
        <v>0</v>
      </c>
      <c r="G148" s="17">
        <v>1</v>
      </c>
      <c r="H148" s="18">
        <v>0</v>
      </c>
      <c r="I148" s="18">
        <v>0</v>
      </c>
      <c r="J148" s="18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9">
        <v>-7.441</v>
      </c>
      <c r="Q148" s="19">
        <v>0</v>
      </c>
      <c r="R148" s="19">
        <v>0</v>
      </c>
    </row>
    <row r="149" ht="16.5" spans="1:18">
      <c r="A149" s="17">
        <v>908</v>
      </c>
      <c r="B149" s="17" t="s">
        <v>656</v>
      </c>
      <c r="C149" s="17">
        <v>2099.266</v>
      </c>
      <c r="D149" s="17">
        <v>2443.621</v>
      </c>
      <c r="E149" s="17">
        <v>0</v>
      </c>
      <c r="F149" s="17">
        <v>0</v>
      </c>
      <c r="G149" s="17">
        <v>1</v>
      </c>
      <c r="H149" s="18">
        <v>0</v>
      </c>
      <c r="I149" s="18">
        <v>0</v>
      </c>
      <c r="J149" s="18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v>-7.22</v>
      </c>
      <c r="Q149" s="19">
        <v>0</v>
      </c>
      <c r="R149" s="19">
        <v>0</v>
      </c>
    </row>
    <row r="150" ht="16.5" spans="1:18">
      <c r="A150" s="17">
        <v>909</v>
      </c>
      <c r="B150" s="17" t="s">
        <v>657</v>
      </c>
      <c r="C150" s="17">
        <v>2348.211</v>
      </c>
      <c r="D150" s="17">
        <v>2635.799</v>
      </c>
      <c r="E150" s="17">
        <v>0</v>
      </c>
      <c r="F150" s="17">
        <v>0</v>
      </c>
      <c r="G150" s="17">
        <v>1</v>
      </c>
      <c r="H150" s="18">
        <v>0</v>
      </c>
      <c r="I150" s="18">
        <v>0</v>
      </c>
      <c r="J150" s="18">
        <v>0</v>
      </c>
      <c r="K150" s="19">
        <v>3</v>
      </c>
      <c r="L150" s="19">
        <v>0</v>
      </c>
      <c r="M150" s="19">
        <v>0</v>
      </c>
      <c r="N150" s="19">
        <v>0</v>
      </c>
      <c r="O150" s="19">
        <v>0</v>
      </c>
      <c r="P150" s="19">
        <v>-3.222</v>
      </c>
      <c r="Q150" s="19">
        <v>0</v>
      </c>
      <c r="R150" s="19">
        <v>0</v>
      </c>
    </row>
    <row r="151" ht="16.5" spans="1:18">
      <c r="A151" s="17">
        <v>910</v>
      </c>
      <c r="B151" s="17" t="s">
        <v>658</v>
      </c>
      <c r="C151" s="17">
        <v>2009.021</v>
      </c>
      <c r="D151" s="17">
        <v>2278.123</v>
      </c>
      <c r="E151" s="17">
        <v>0</v>
      </c>
      <c r="F151" s="17">
        <v>0</v>
      </c>
      <c r="G151" s="17">
        <v>1</v>
      </c>
      <c r="H151" s="18">
        <v>0</v>
      </c>
      <c r="I151" s="18">
        <v>0</v>
      </c>
      <c r="J151" s="18">
        <v>0</v>
      </c>
      <c r="K151" s="19">
        <v>4</v>
      </c>
      <c r="L151" s="19">
        <v>0</v>
      </c>
      <c r="M151" s="19">
        <v>0</v>
      </c>
      <c r="N151" s="19">
        <v>1</v>
      </c>
      <c r="O151" s="19">
        <v>0</v>
      </c>
      <c r="P151" s="19">
        <v>-3.919</v>
      </c>
      <c r="Q151" s="19">
        <v>0</v>
      </c>
      <c r="R151" s="19">
        <v>0</v>
      </c>
    </row>
    <row r="152" ht="16.5" spans="1:18">
      <c r="A152" s="17">
        <v>911</v>
      </c>
      <c r="B152" s="17" t="s">
        <v>659</v>
      </c>
      <c r="C152" s="17">
        <v>6057.344</v>
      </c>
      <c r="D152" s="17">
        <v>6623.153</v>
      </c>
      <c r="E152" s="17">
        <v>0</v>
      </c>
      <c r="F152" s="17">
        <v>0</v>
      </c>
      <c r="G152" s="17">
        <v>1</v>
      </c>
      <c r="H152" s="18">
        <v>0</v>
      </c>
      <c r="I152" s="18">
        <v>0</v>
      </c>
      <c r="J152" s="18">
        <v>0</v>
      </c>
      <c r="K152" s="19">
        <v>3</v>
      </c>
      <c r="L152" s="19">
        <v>0</v>
      </c>
      <c r="M152" s="19">
        <v>0</v>
      </c>
      <c r="N152" s="19">
        <v>0</v>
      </c>
      <c r="O152" s="19">
        <v>0</v>
      </c>
      <c r="P152" s="19">
        <v>-4.302</v>
      </c>
      <c r="Q152" s="19">
        <v>0</v>
      </c>
      <c r="R152" s="19">
        <v>0</v>
      </c>
    </row>
    <row r="153" ht="16.5" spans="1:18">
      <c r="A153" s="17">
        <v>914</v>
      </c>
      <c r="B153" s="17" t="s">
        <v>660</v>
      </c>
      <c r="C153" s="17">
        <v>5820.321</v>
      </c>
      <c r="D153" s="17">
        <v>6490.633</v>
      </c>
      <c r="E153" s="17">
        <v>0</v>
      </c>
      <c r="F153" s="17">
        <v>0</v>
      </c>
      <c r="G153" s="17">
        <v>1</v>
      </c>
      <c r="H153" s="18">
        <v>0</v>
      </c>
      <c r="I153" s="18">
        <v>0</v>
      </c>
      <c r="J153" s="18">
        <v>0</v>
      </c>
      <c r="K153" s="19">
        <v>3</v>
      </c>
      <c r="L153" s="19">
        <v>0</v>
      </c>
      <c r="M153" s="19">
        <v>0</v>
      </c>
      <c r="N153" s="19">
        <v>-1</v>
      </c>
      <c r="O153" s="19">
        <v>0</v>
      </c>
      <c r="P153" s="19">
        <v>-8.887</v>
      </c>
      <c r="Q153" s="19">
        <v>0</v>
      </c>
      <c r="R153" s="19">
        <v>0</v>
      </c>
    </row>
    <row r="154" ht="16.5" spans="1:18">
      <c r="A154" s="17">
        <v>915</v>
      </c>
      <c r="B154" s="17" t="s">
        <v>661</v>
      </c>
      <c r="C154" s="17">
        <v>2243.863</v>
      </c>
      <c r="D154" s="17">
        <v>2702.933</v>
      </c>
      <c r="E154" s="17">
        <v>0</v>
      </c>
      <c r="F154" s="17">
        <v>0</v>
      </c>
      <c r="G154" s="17">
        <v>1</v>
      </c>
      <c r="H154" s="18">
        <v>0</v>
      </c>
      <c r="I154" s="18">
        <v>0</v>
      </c>
      <c r="J154" s="18">
        <v>0</v>
      </c>
      <c r="K154" s="19">
        <v>3</v>
      </c>
      <c r="L154" s="19">
        <v>0</v>
      </c>
      <c r="M154" s="19">
        <v>0</v>
      </c>
      <c r="N154" s="19">
        <v>0</v>
      </c>
      <c r="O154" s="19">
        <v>0</v>
      </c>
      <c r="P154" s="19">
        <v>-2.75</v>
      </c>
      <c r="Q154" s="19">
        <v>0</v>
      </c>
      <c r="R154" s="19">
        <v>0</v>
      </c>
    </row>
    <row r="155" ht="16.5" spans="1:18">
      <c r="A155" s="17">
        <v>916</v>
      </c>
      <c r="B155" s="17" t="s">
        <v>662</v>
      </c>
      <c r="C155" s="17">
        <v>2801.422</v>
      </c>
      <c r="D155" s="17">
        <v>3273.216</v>
      </c>
      <c r="E155" s="17">
        <v>0</v>
      </c>
      <c r="F155" s="17">
        <v>0</v>
      </c>
      <c r="G155" s="17">
        <v>1</v>
      </c>
      <c r="H155" s="18">
        <v>0</v>
      </c>
      <c r="I155" s="18">
        <v>0</v>
      </c>
      <c r="J155" s="18">
        <v>0</v>
      </c>
      <c r="K155" s="19">
        <v>1</v>
      </c>
      <c r="L155" s="19">
        <v>0</v>
      </c>
      <c r="M155" s="19">
        <v>0</v>
      </c>
      <c r="N155" s="19">
        <v>0</v>
      </c>
      <c r="O155" s="19">
        <v>0</v>
      </c>
      <c r="P155" s="19">
        <v>-6.399</v>
      </c>
      <c r="Q155" s="19">
        <v>0</v>
      </c>
      <c r="R155" s="19">
        <v>-1</v>
      </c>
    </row>
    <row r="156" ht="16.5" spans="1:18">
      <c r="A156" s="17">
        <v>918</v>
      </c>
      <c r="B156" s="17" t="s">
        <v>663</v>
      </c>
      <c r="C156" s="17">
        <v>3721.501</v>
      </c>
      <c r="D156" s="17">
        <v>4198.383</v>
      </c>
      <c r="E156" s="17">
        <v>0</v>
      </c>
      <c r="F156" s="17">
        <v>0</v>
      </c>
      <c r="G156" s="17">
        <v>1</v>
      </c>
      <c r="H156" s="18">
        <v>0</v>
      </c>
      <c r="I156" s="18">
        <v>0</v>
      </c>
      <c r="J156" s="18">
        <v>0</v>
      </c>
      <c r="K156" s="19">
        <v>4</v>
      </c>
      <c r="L156" s="19">
        <v>0</v>
      </c>
      <c r="M156" s="19">
        <v>0</v>
      </c>
      <c r="N156" s="19">
        <v>0</v>
      </c>
      <c r="O156" s="19">
        <v>0</v>
      </c>
      <c r="P156" s="19">
        <v>-6.492</v>
      </c>
      <c r="Q156" s="19">
        <v>0</v>
      </c>
      <c r="R156" s="19">
        <v>0</v>
      </c>
    </row>
    <row r="157" ht="16.5" spans="1:18">
      <c r="A157" s="17">
        <v>919</v>
      </c>
      <c r="B157" s="17" t="s">
        <v>664</v>
      </c>
      <c r="C157" s="17">
        <v>4689.499</v>
      </c>
      <c r="D157" s="17">
        <v>5076.483</v>
      </c>
      <c r="E157" s="17">
        <v>0</v>
      </c>
      <c r="F157" s="17">
        <v>0</v>
      </c>
      <c r="G157" s="17">
        <v>1</v>
      </c>
      <c r="H157" s="18">
        <v>0</v>
      </c>
      <c r="I157" s="18">
        <v>0</v>
      </c>
      <c r="J157" s="18">
        <v>0</v>
      </c>
      <c r="K157" s="19">
        <v>1</v>
      </c>
      <c r="L157" s="19">
        <v>0</v>
      </c>
      <c r="M157" s="19">
        <v>0</v>
      </c>
      <c r="N157" s="19">
        <v>0</v>
      </c>
      <c r="O157" s="19">
        <v>0</v>
      </c>
      <c r="P157" s="19">
        <v>-3.142</v>
      </c>
      <c r="Q157" s="19">
        <v>0</v>
      </c>
      <c r="R157" s="19">
        <v>0</v>
      </c>
    </row>
    <row r="158" ht="16.5" spans="1:18">
      <c r="A158" s="17">
        <v>922</v>
      </c>
      <c r="B158" s="17" t="s">
        <v>665</v>
      </c>
      <c r="C158" s="17">
        <v>5190.528</v>
      </c>
      <c r="D158" s="17">
        <v>5645.723</v>
      </c>
      <c r="E158" s="17">
        <v>0</v>
      </c>
      <c r="F158" s="17">
        <v>0</v>
      </c>
      <c r="G158" s="17">
        <v>1</v>
      </c>
      <c r="H158" s="18">
        <v>0</v>
      </c>
      <c r="I158" s="18">
        <v>0</v>
      </c>
      <c r="J158" s="18">
        <v>0</v>
      </c>
      <c r="K158" s="19">
        <v>0</v>
      </c>
      <c r="L158" s="19">
        <v>0</v>
      </c>
      <c r="M158" s="19">
        <v>1</v>
      </c>
      <c r="N158" s="19">
        <v>-1</v>
      </c>
      <c r="O158" s="19">
        <v>0</v>
      </c>
      <c r="P158" s="19">
        <v>-9.281</v>
      </c>
      <c r="Q158" s="19">
        <v>0</v>
      </c>
      <c r="R158" s="19">
        <v>0</v>
      </c>
    </row>
    <row r="159" ht="16.5" spans="1:18">
      <c r="A159" s="17">
        <v>925</v>
      </c>
      <c r="B159" s="17" t="s">
        <v>666</v>
      </c>
      <c r="C159" s="17">
        <v>4244.869</v>
      </c>
      <c r="D159" s="17">
        <v>4620.483</v>
      </c>
      <c r="E159" s="17">
        <v>0</v>
      </c>
      <c r="F159" s="17">
        <v>0</v>
      </c>
      <c r="G159" s="17">
        <v>1</v>
      </c>
      <c r="H159" s="18">
        <v>0</v>
      </c>
      <c r="I159" s="18">
        <v>0</v>
      </c>
      <c r="J159" s="18">
        <v>0</v>
      </c>
      <c r="K159" s="19">
        <v>3</v>
      </c>
      <c r="L159" s="19">
        <v>0</v>
      </c>
      <c r="M159" s="19">
        <v>1</v>
      </c>
      <c r="N159" s="19">
        <v>-1</v>
      </c>
      <c r="O159" s="19">
        <v>0</v>
      </c>
      <c r="P159" s="19">
        <v>-10.364</v>
      </c>
      <c r="Q159" s="19">
        <v>0</v>
      </c>
      <c r="R159" s="19">
        <v>0</v>
      </c>
    </row>
    <row r="160" ht="16.5" spans="1:18">
      <c r="A160" s="17">
        <v>926</v>
      </c>
      <c r="B160" s="17" t="s">
        <v>667</v>
      </c>
      <c r="C160" s="17">
        <v>2019.788</v>
      </c>
      <c r="D160" s="17">
        <v>2241.134</v>
      </c>
      <c r="E160" s="17">
        <v>0</v>
      </c>
      <c r="F160" s="17">
        <v>0</v>
      </c>
      <c r="G160" s="17">
        <v>1</v>
      </c>
      <c r="H160" s="18">
        <v>0</v>
      </c>
      <c r="I160" s="18">
        <v>0</v>
      </c>
      <c r="J160" s="18">
        <v>0</v>
      </c>
      <c r="K160" s="19">
        <v>4</v>
      </c>
      <c r="L160" s="19">
        <v>0</v>
      </c>
      <c r="M160" s="19">
        <v>0</v>
      </c>
      <c r="N160" s="19">
        <v>0</v>
      </c>
      <c r="O160" s="19">
        <v>0</v>
      </c>
      <c r="P160" s="19">
        <v>-4.097</v>
      </c>
      <c r="Q160" s="19">
        <v>0</v>
      </c>
      <c r="R160" s="19">
        <v>0</v>
      </c>
    </row>
    <row r="161" ht="16.5" spans="1:18">
      <c r="A161" s="17">
        <v>927</v>
      </c>
      <c r="B161" s="17" t="s">
        <v>668</v>
      </c>
      <c r="C161" s="17">
        <v>1815.945</v>
      </c>
      <c r="D161" s="17">
        <v>1978.358</v>
      </c>
      <c r="E161" s="17">
        <v>0</v>
      </c>
      <c r="F161" s="17">
        <v>0</v>
      </c>
      <c r="G161" s="17">
        <v>1</v>
      </c>
      <c r="H161" s="18">
        <v>0</v>
      </c>
      <c r="I161" s="18">
        <v>0</v>
      </c>
      <c r="J161" s="18">
        <v>0</v>
      </c>
      <c r="K161" s="19">
        <v>3</v>
      </c>
      <c r="L161" s="19">
        <v>1</v>
      </c>
      <c r="M161" s="19">
        <v>0</v>
      </c>
      <c r="N161" s="19">
        <v>-1</v>
      </c>
      <c r="O161" s="19">
        <v>0</v>
      </c>
      <c r="P161" s="19">
        <v>-5.766</v>
      </c>
      <c r="Q161" s="19">
        <v>0</v>
      </c>
      <c r="R161" s="19">
        <v>0</v>
      </c>
    </row>
    <row r="162" ht="16.5" spans="1:18">
      <c r="A162" s="17">
        <v>928</v>
      </c>
      <c r="B162" s="17" t="s">
        <v>669</v>
      </c>
      <c r="C162" s="17">
        <v>2617.097</v>
      </c>
      <c r="D162" s="17">
        <v>3021.425</v>
      </c>
      <c r="E162" s="17">
        <v>0</v>
      </c>
      <c r="F162" s="17">
        <v>0</v>
      </c>
      <c r="G162" s="17">
        <v>1</v>
      </c>
      <c r="H162" s="18">
        <v>0</v>
      </c>
      <c r="I162" s="18">
        <v>0</v>
      </c>
      <c r="J162" s="18">
        <v>0</v>
      </c>
      <c r="K162" s="19">
        <v>3</v>
      </c>
      <c r="L162" s="19">
        <v>0</v>
      </c>
      <c r="M162" s="19">
        <v>0</v>
      </c>
      <c r="N162" s="19">
        <v>0</v>
      </c>
      <c r="O162" s="19">
        <v>0</v>
      </c>
      <c r="P162" s="19">
        <v>-6.375</v>
      </c>
      <c r="Q162" s="19">
        <v>0</v>
      </c>
      <c r="R162" s="19">
        <v>-1</v>
      </c>
    </row>
    <row r="163" ht="16.5" spans="1:18">
      <c r="A163" s="17">
        <v>929</v>
      </c>
      <c r="B163" s="17" t="s">
        <v>670</v>
      </c>
      <c r="C163" s="17">
        <v>2644.599</v>
      </c>
      <c r="D163" s="17">
        <v>2972.321</v>
      </c>
      <c r="E163" s="17">
        <v>0</v>
      </c>
      <c r="F163" s="17">
        <v>0</v>
      </c>
      <c r="G163" s="17">
        <v>1</v>
      </c>
      <c r="H163" s="18">
        <v>0</v>
      </c>
      <c r="I163" s="18">
        <v>0</v>
      </c>
      <c r="J163" s="18">
        <v>0</v>
      </c>
      <c r="K163" s="19">
        <v>2</v>
      </c>
      <c r="L163" s="19">
        <v>0</v>
      </c>
      <c r="M163" s="19">
        <v>0</v>
      </c>
      <c r="N163" s="19">
        <v>0</v>
      </c>
      <c r="O163" s="19">
        <v>0</v>
      </c>
      <c r="P163" s="19">
        <v>-9.495</v>
      </c>
      <c r="Q163" s="19">
        <v>0</v>
      </c>
      <c r="R163" s="19">
        <v>-1</v>
      </c>
    </row>
    <row r="164" ht="16.5" spans="1:18">
      <c r="A164" s="17">
        <v>930</v>
      </c>
      <c r="B164" s="17" t="s">
        <v>671</v>
      </c>
      <c r="C164" s="17">
        <v>2664.81</v>
      </c>
      <c r="D164" s="17">
        <v>3034.202</v>
      </c>
      <c r="E164" s="17">
        <v>0</v>
      </c>
      <c r="F164" s="17">
        <v>0</v>
      </c>
      <c r="G164" s="17">
        <v>1</v>
      </c>
      <c r="H164" s="18">
        <v>0</v>
      </c>
      <c r="I164" s="18">
        <v>0</v>
      </c>
      <c r="J164" s="18">
        <v>0</v>
      </c>
      <c r="K164" s="19">
        <v>4</v>
      </c>
      <c r="L164" s="19">
        <v>0</v>
      </c>
      <c r="M164" s="19">
        <v>0</v>
      </c>
      <c r="N164" s="19">
        <v>0</v>
      </c>
      <c r="O164" s="19">
        <v>0</v>
      </c>
      <c r="P164" s="19">
        <v>-26.98</v>
      </c>
      <c r="Q164" s="19">
        <v>0</v>
      </c>
      <c r="R164" s="19">
        <v>0</v>
      </c>
    </row>
    <row r="165" ht="16.5" spans="1:18">
      <c r="A165" s="17">
        <v>931</v>
      </c>
      <c r="B165" s="17" t="s">
        <v>672</v>
      </c>
      <c r="C165" s="17">
        <v>5466.223</v>
      </c>
      <c r="D165" s="17">
        <v>6071.1</v>
      </c>
      <c r="E165" s="17">
        <v>0</v>
      </c>
      <c r="F165" s="17">
        <v>0</v>
      </c>
      <c r="G165" s="17">
        <v>1</v>
      </c>
      <c r="H165" s="18">
        <v>0</v>
      </c>
      <c r="I165" s="18">
        <v>0</v>
      </c>
      <c r="J165" s="18">
        <v>0</v>
      </c>
      <c r="K165" s="19">
        <v>1</v>
      </c>
      <c r="L165" s="19">
        <v>0</v>
      </c>
      <c r="M165" s="19">
        <v>0</v>
      </c>
      <c r="N165" s="19">
        <v>-1</v>
      </c>
      <c r="O165" s="19">
        <v>0</v>
      </c>
      <c r="P165" s="19">
        <v>-16.197</v>
      </c>
      <c r="Q165" s="19">
        <v>0</v>
      </c>
      <c r="R165" s="19">
        <v>0</v>
      </c>
    </row>
    <row r="166" ht="16.5" spans="1:18">
      <c r="A166" s="17">
        <v>934</v>
      </c>
      <c r="B166" s="17" t="s">
        <v>673</v>
      </c>
      <c r="C166" s="17">
        <v>5440.426</v>
      </c>
      <c r="D166" s="17">
        <v>6117.234</v>
      </c>
      <c r="E166" s="17">
        <v>0</v>
      </c>
      <c r="F166" s="17">
        <v>0</v>
      </c>
      <c r="G166" s="17">
        <v>1</v>
      </c>
      <c r="H166" s="18">
        <v>0</v>
      </c>
      <c r="I166" s="18">
        <v>0</v>
      </c>
      <c r="J166" s="18">
        <v>0</v>
      </c>
      <c r="K166" s="19">
        <v>4</v>
      </c>
      <c r="L166" s="19">
        <v>0</v>
      </c>
      <c r="M166" s="19">
        <v>0</v>
      </c>
      <c r="N166" s="19">
        <v>1</v>
      </c>
      <c r="O166" s="19">
        <v>0</v>
      </c>
      <c r="P166" s="19">
        <v>-10.533</v>
      </c>
      <c r="Q166" s="19">
        <v>0</v>
      </c>
      <c r="R166" s="19">
        <v>1</v>
      </c>
    </row>
    <row r="167" ht="16.5" spans="1:18">
      <c r="A167" s="17">
        <v>935</v>
      </c>
      <c r="B167" s="17" t="s">
        <v>674</v>
      </c>
      <c r="C167" s="17">
        <v>4236.581</v>
      </c>
      <c r="D167" s="17">
        <v>5207.022</v>
      </c>
      <c r="E167" s="17">
        <v>0</v>
      </c>
      <c r="F167" s="17">
        <v>0</v>
      </c>
      <c r="G167" s="17">
        <v>1</v>
      </c>
      <c r="H167" s="18">
        <v>0</v>
      </c>
      <c r="I167" s="18">
        <v>0</v>
      </c>
      <c r="J167" s="18">
        <v>0</v>
      </c>
      <c r="K167" s="19">
        <v>4</v>
      </c>
      <c r="L167" s="19">
        <v>0</v>
      </c>
      <c r="M167" s="19">
        <v>0</v>
      </c>
      <c r="N167" s="19">
        <v>1</v>
      </c>
      <c r="O167" s="19">
        <v>0</v>
      </c>
      <c r="P167" s="19">
        <v>8.723</v>
      </c>
      <c r="Q167" s="19">
        <v>0</v>
      </c>
      <c r="R167" s="19">
        <v>1</v>
      </c>
    </row>
    <row r="168" ht="16.5" spans="1:18">
      <c r="A168" s="17">
        <v>936</v>
      </c>
      <c r="B168" s="17" t="s">
        <v>675</v>
      </c>
      <c r="C168" s="17">
        <v>5237.045</v>
      </c>
      <c r="D168" s="17">
        <v>6296.317</v>
      </c>
      <c r="E168" s="17">
        <v>0</v>
      </c>
      <c r="F168" s="17">
        <v>0</v>
      </c>
      <c r="G168" s="17">
        <v>1</v>
      </c>
      <c r="H168" s="18">
        <v>0</v>
      </c>
      <c r="I168" s="18">
        <v>0</v>
      </c>
      <c r="J168" s="18">
        <v>0</v>
      </c>
      <c r="K168" s="19">
        <v>3</v>
      </c>
      <c r="L168" s="19">
        <v>0</v>
      </c>
      <c r="M168" s="19">
        <v>0</v>
      </c>
      <c r="N168" s="19">
        <v>1</v>
      </c>
      <c r="O168" s="19">
        <v>0</v>
      </c>
      <c r="P168" s="19">
        <v>-24.664</v>
      </c>
      <c r="Q168" s="19">
        <v>0</v>
      </c>
      <c r="R168" s="19">
        <v>0</v>
      </c>
    </row>
    <row r="169" ht="16.5" spans="1:18">
      <c r="A169" s="17">
        <v>941</v>
      </c>
      <c r="B169" s="17" t="s">
        <v>676</v>
      </c>
      <c r="C169" s="17">
        <v>1697.363</v>
      </c>
      <c r="D169" s="17">
        <v>2014.712</v>
      </c>
      <c r="E169" s="17">
        <v>0</v>
      </c>
      <c r="F169" s="17">
        <v>0</v>
      </c>
      <c r="G169" s="17">
        <v>1</v>
      </c>
      <c r="H169" s="18">
        <v>0</v>
      </c>
      <c r="I169" s="18">
        <v>0</v>
      </c>
      <c r="J169" s="18">
        <v>0</v>
      </c>
      <c r="K169" s="19">
        <v>0</v>
      </c>
      <c r="L169" s="19">
        <v>0</v>
      </c>
      <c r="M169" s="19">
        <v>1</v>
      </c>
      <c r="N169" s="19">
        <v>-1</v>
      </c>
      <c r="O169" s="19">
        <v>0</v>
      </c>
      <c r="P169" s="19">
        <v>-10.964</v>
      </c>
      <c r="Q169" s="19">
        <v>-1</v>
      </c>
      <c r="R169" s="19">
        <v>0</v>
      </c>
    </row>
    <row r="170" ht="16.5" spans="1:18">
      <c r="A170" s="17">
        <v>944</v>
      </c>
      <c r="B170" s="17" t="s">
        <v>677</v>
      </c>
      <c r="C170" s="17">
        <v>3218.884</v>
      </c>
      <c r="D170" s="17">
        <v>3546.484</v>
      </c>
      <c r="E170" s="17">
        <v>0</v>
      </c>
      <c r="F170" s="17">
        <v>0</v>
      </c>
      <c r="G170" s="17">
        <v>1</v>
      </c>
      <c r="H170" s="18">
        <v>0</v>
      </c>
      <c r="I170" s="18">
        <v>0</v>
      </c>
      <c r="J170" s="18">
        <v>0</v>
      </c>
      <c r="K170" s="19">
        <v>3</v>
      </c>
      <c r="L170" s="19">
        <v>0</v>
      </c>
      <c r="M170" s="19">
        <v>1</v>
      </c>
      <c r="N170" s="19">
        <v>-1</v>
      </c>
      <c r="O170" s="19">
        <v>0</v>
      </c>
      <c r="P170" s="19">
        <v>-27.317</v>
      </c>
      <c r="Q170" s="19">
        <v>-1</v>
      </c>
      <c r="R170" s="19">
        <v>0</v>
      </c>
    </row>
    <row r="171" ht="16.5" spans="1:18">
      <c r="A171" s="17">
        <v>945</v>
      </c>
      <c r="B171" s="17" t="s">
        <v>678</v>
      </c>
      <c r="C171" s="17">
        <v>1411.577</v>
      </c>
      <c r="D171" s="17">
        <v>1549.64</v>
      </c>
      <c r="E171" s="17">
        <v>0</v>
      </c>
      <c r="F171" s="17">
        <v>0</v>
      </c>
      <c r="G171" s="17">
        <v>1</v>
      </c>
      <c r="H171" s="18">
        <v>0</v>
      </c>
      <c r="I171" s="18">
        <v>0</v>
      </c>
      <c r="J171" s="18">
        <v>0</v>
      </c>
      <c r="K171" s="19">
        <v>1</v>
      </c>
      <c r="L171" s="19">
        <v>0</v>
      </c>
      <c r="M171" s="19">
        <v>0</v>
      </c>
      <c r="N171" s="19">
        <v>-1</v>
      </c>
      <c r="O171" s="19">
        <v>0</v>
      </c>
      <c r="P171" s="19">
        <v>-11.736</v>
      </c>
      <c r="Q171" s="19">
        <v>0</v>
      </c>
      <c r="R171" s="19">
        <v>0</v>
      </c>
    </row>
    <row r="172" ht="16.5" spans="1:18">
      <c r="A172" s="17">
        <v>948</v>
      </c>
      <c r="B172" s="17" t="s">
        <v>679</v>
      </c>
      <c r="C172" s="17">
        <v>2478.571</v>
      </c>
      <c r="D172" s="17">
        <v>3051.373</v>
      </c>
      <c r="E172" s="17">
        <v>0</v>
      </c>
      <c r="F172" s="17">
        <v>0</v>
      </c>
      <c r="G172" s="17">
        <v>1</v>
      </c>
      <c r="H172" s="18">
        <v>0</v>
      </c>
      <c r="I172" s="18">
        <v>0</v>
      </c>
      <c r="J172" s="18">
        <v>0</v>
      </c>
      <c r="K172" s="19">
        <v>4</v>
      </c>
      <c r="L172" s="19">
        <v>0</v>
      </c>
      <c r="M172" s="19">
        <v>0</v>
      </c>
      <c r="N172" s="19">
        <v>1</v>
      </c>
      <c r="O172" s="19">
        <v>0</v>
      </c>
      <c r="P172" s="19">
        <v>-22.263</v>
      </c>
      <c r="Q172" s="19">
        <v>0</v>
      </c>
      <c r="R172" s="19">
        <v>0</v>
      </c>
    </row>
    <row r="173" ht="16.5" spans="1:18">
      <c r="A173" s="17">
        <v>952</v>
      </c>
      <c r="B173" s="17" t="s">
        <v>680</v>
      </c>
      <c r="C173" s="17">
        <v>2864.404</v>
      </c>
      <c r="D173" s="17">
        <v>3559.942</v>
      </c>
      <c r="E173" s="17">
        <v>0</v>
      </c>
      <c r="F173" s="17">
        <v>0</v>
      </c>
      <c r="G173" s="17">
        <v>1</v>
      </c>
      <c r="H173" s="18">
        <v>0</v>
      </c>
      <c r="I173" s="18">
        <v>0</v>
      </c>
      <c r="J173" s="18">
        <v>0</v>
      </c>
      <c r="K173" s="19">
        <v>4</v>
      </c>
      <c r="L173" s="19">
        <v>0</v>
      </c>
      <c r="M173" s="19">
        <v>0</v>
      </c>
      <c r="N173" s="19">
        <v>1</v>
      </c>
      <c r="O173" s="19">
        <v>0</v>
      </c>
      <c r="P173" s="19">
        <v>8.591</v>
      </c>
      <c r="Q173" s="19">
        <v>0</v>
      </c>
      <c r="R173" s="19">
        <v>1</v>
      </c>
    </row>
    <row r="174" ht="16.5" spans="1:18">
      <c r="A174" s="17">
        <v>959</v>
      </c>
      <c r="B174" s="17" t="s">
        <v>681</v>
      </c>
      <c r="C174" s="17">
        <v>6674.057</v>
      </c>
      <c r="D174" s="17">
        <v>7227.862</v>
      </c>
      <c r="E174" s="17">
        <v>0</v>
      </c>
      <c r="F174" s="17">
        <v>0</v>
      </c>
      <c r="G174" s="17">
        <v>1</v>
      </c>
      <c r="H174" s="18">
        <v>0</v>
      </c>
      <c r="I174" s="18">
        <v>0</v>
      </c>
      <c r="J174" s="18">
        <v>0</v>
      </c>
      <c r="K174" s="19">
        <v>0</v>
      </c>
      <c r="L174" s="19">
        <v>1</v>
      </c>
      <c r="M174" s="19">
        <v>1</v>
      </c>
      <c r="N174" s="19">
        <v>-1</v>
      </c>
      <c r="O174" s="19">
        <v>0</v>
      </c>
      <c r="P174" s="19">
        <v>-7.333</v>
      </c>
      <c r="Q174" s="19">
        <v>-1</v>
      </c>
      <c r="R174" s="19">
        <v>0</v>
      </c>
    </row>
    <row r="175" ht="16.5" spans="1:18">
      <c r="A175" s="17">
        <v>961</v>
      </c>
      <c r="B175" s="17" t="s">
        <v>682</v>
      </c>
      <c r="C175" s="17">
        <v>3077.638</v>
      </c>
      <c r="D175" s="17">
        <v>3390.973</v>
      </c>
      <c r="E175" s="17">
        <v>0</v>
      </c>
      <c r="F175" s="17">
        <v>0</v>
      </c>
      <c r="G175" s="17">
        <v>1</v>
      </c>
      <c r="H175" s="18">
        <v>0</v>
      </c>
      <c r="I175" s="18">
        <v>0</v>
      </c>
      <c r="J175" s="18">
        <v>0</v>
      </c>
      <c r="K175" s="19">
        <v>2</v>
      </c>
      <c r="L175" s="19">
        <v>0</v>
      </c>
      <c r="M175" s="19">
        <v>0</v>
      </c>
      <c r="N175" s="19">
        <v>0</v>
      </c>
      <c r="O175" s="19">
        <v>0</v>
      </c>
      <c r="P175" s="19">
        <v>-21.399</v>
      </c>
      <c r="Q175" s="19">
        <v>0</v>
      </c>
      <c r="R175" s="19">
        <v>1</v>
      </c>
    </row>
    <row r="176" ht="16.5" spans="1:18">
      <c r="A176" s="17">
        <v>963</v>
      </c>
      <c r="B176" s="17" t="s">
        <v>683</v>
      </c>
      <c r="C176" s="17">
        <v>5968.856</v>
      </c>
      <c r="D176" s="17">
        <v>6657.234</v>
      </c>
      <c r="E176" s="17">
        <v>0</v>
      </c>
      <c r="F176" s="17">
        <v>0</v>
      </c>
      <c r="G176" s="17">
        <v>1</v>
      </c>
      <c r="H176" s="18">
        <v>0</v>
      </c>
      <c r="I176" s="18">
        <v>0</v>
      </c>
      <c r="J176" s="18">
        <v>0</v>
      </c>
      <c r="K176" s="19">
        <v>4</v>
      </c>
      <c r="L176" s="19">
        <v>0</v>
      </c>
      <c r="M176" s="19">
        <v>0</v>
      </c>
      <c r="N176" s="19">
        <v>1</v>
      </c>
      <c r="O176" s="19">
        <v>0</v>
      </c>
      <c r="P176" s="19">
        <v>-12.286</v>
      </c>
      <c r="Q176" s="19">
        <v>0</v>
      </c>
      <c r="R176" s="19">
        <v>0</v>
      </c>
    </row>
    <row r="177" ht="16.5" spans="1:18">
      <c r="A177" s="17">
        <v>964</v>
      </c>
      <c r="B177" s="17" t="s">
        <v>684</v>
      </c>
      <c r="C177" s="17">
        <v>7623.261</v>
      </c>
      <c r="D177" s="17">
        <v>8790.983</v>
      </c>
      <c r="E177" s="17">
        <v>0</v>
      </c>
      <c r="F177" s="17">
        <v>0</v>
      </c>
      <c r="G177" s="17">
        <v>1</v>
      </c>
      <c r="H177" s="18">
        <v>0</v>
      </c>
      <c r="I177" s="18">
        <v>0</v>
      </c>
      <c r="J177" s="18">
        <v>0</v>
      </c>
      <c r="K177" s="19">
        <v>0</v>
      </c>
      <c r="L177" s="19">
        <v>0</v>
      </c>
      <c r="M177" s="19">
        <v>1</v>
      </c>
      <c r="N177" s="19">
        <v>-1</v>
      </c>
      <c r="O177" s="19">
        <v>0</v>
      </c>
      <c r="P177" s="19">
        <v>-8.708</v>
      </c>
      <c r="Q177" s="19">
        <v>-1</v>
      </c>
      <c r="R177" s="19">
        <v>0</v>
      </c>
    </row>
    <row r="178" ht="16.5" spans="1:18">
      <c r="A178" s="17">
        <v>965</v>
      </c>
      <c r="B178" s="17" t="s">
        <v>685</v>
      </c>
      <c r="C178" s="17">
        <v>4888.791</v>
      </c>
      <c r="D178" s="17">
        <v>5374.358</v>
      </c>
      <c r="E178" s="17">
        <v>0</v>
      </c>
      <c r="F178" s="17">
        <v>0</v>
      </c>
      <c r="G178" s="17">
        <v>1</v>
      </c>
      <c r="H178" s="18">
        <v>0</v>
      </c>
      <c r="I178" s="18">
        <v>0</v>
      </c>
      <c r="J178" s="18">
        <v>0</v>
      </c>
      <c r="K178" s="19">
        <v>4</v>
      </c>
      <c r="L178" s="19">
        <v>0</v>
      </c>
      <c r="M178" s="19">
        <v>0</v>
      </c>
      <c r="N178" s="19">
        <v>1</v>
      </c>
      <c r="O178" s="19">
        <v>0</v>
      </c>
      <c r="P178" s="19">
        <v>-8.282</v>
      </c>
      <c r="Q178" s="19">
        <v>0</v>
      </c>
      <c r="R178" s="19">
        <v>0</v>
      </c>
    </row>
    <row r="179" ht="16.5" spans="1:18">
      <c r="A179" s="17">
        <v>966</v>
      </c>
      <c r="B179" s="17" t="s">
        <v>686</v>
      </c>
      <c r="C179" s="17">
        <v>6707.026</v>
      </c>
      <c r="D179" s="17">
        <v>7775.303</v>
      </c>
      <c r="E179" s="17">
        <v>0</v>
      </c>
      <c r="F179" s="17">
        <v>0</v>
      </c>
      <c r="G179" s="17">
        <v>1</v>
      </c>
      <c r="H179" s="18">
        <v>0</v>
      </c>
      <c r="I179" s="18">
        <v>0</v>
      </c>
      <c r="J179" s="18">
        <v>0</v>
      </c>
      <c r="K179" s="19">
        <v>4</v>
      </c>
      <c r="L179" s="19">
        <v>0</v>
      </c>
      <c r="M179" s="19">
        <v>0</v>
      </c>
      <c r="N179" s="19">
        <v>1</v>
      </c>
      <c r="O179" s="19">
        <v>0</v>
      </c>
      <c r="P179" s="19">
        <v>-9.279</v>
      </c>
      <c r="Q179" s="19">
        <v>0</v>
      </c>
      <c r="R179" s="19">
        <v>1</v>
      </c>
    </row>
    <row r="180" ht="16.5" spans="1:18">
      <c r="A180" s="17">
        <v>967</v>
      </c>
      <c r="B180" s="17" t="s">
        <v>687</v>
      </c>
      <c r="C180" s="17">
        <v>5492.722</v>
      </c>
      <c r="D180" s="17">
        <v>6101.704</v>
      </c>
      <c r="E180" s="17">
        <v>0</v>
      </c>
      <c r="F180" s="17">
        <v>0</v>
      </c>
      <c r="G180" s="17">
        <v>1</v>
      </c>
      <c r="H180" s="18">
        <v>0</v>
      </c>
      <c r="I180" s="18">
        <v>0</v>
      </c>
      <c r="J180" s="18">
        <v>0</v>
      </c>
      <c r="K180" s="19">
        <v>2</v>
      </c>
      <c r="L180" s="19">
        <v>0</v>
      </c>
      <c r="M180" s="19">
        <v>0</v>
      </c>
      <c r="N180" s="19">
        <v>0</v>
      </c>
      <c r="O180" s="19">
        <v>0</v>
      </c>
      <c r="P180" s="19">
        <v>-7.134</v>
      </c>
      <c r="Q180" s="19">
        <v>-1</v>
      </c>
      <c r="R180" s="19">
        <v>0</v>
      </c>
    </row>
    <row r="181" ht="16.5" spans="1:18">
      <c r="A181" s="17">
        <v>969</v>
      </c>
      <c r="B181" s="17" t="s">
        <v>688</v>
      </c>
      <c r="C181" s="17">
        <v>4190.072</v>
      </c>
      <c r="D181" s="17">
        <v>4692.469</v>
      </c>
      <c r="E181" s="17">
        <v>0</v>
      </c>
      <c r="F181" s="17">
        <v>0</v>
      </c>
      <c r="G181" s="17">
        <v>1</v>
      </c>
      <c r="H181" s="18">
        <v>0</v>
      </c>
      <c r="I181" s="18">
        <v>0</v>
      </c>
      <c r="J181" s="18">
        <v>0</v>
      </c>
      <c r="K181" s="19">
        <v>3</v>
      </c>
      <c r="L181" s="19">
        <v>0</v>
      </c>
      <c r="M181" s="19">
        <v>0</v>
      </c>
      <c r="N181" s="19">
        <v>0</v>
      </c>
      <c r="O181" s="19">
        <v>0</v>
      </c>
      <c r="P181" s="19">
        <v>-9.716</v>
      </c>
      <c r="Q181" s="19">
        <v>0</v>
      </c>
      <c r="R181" s="19">
        <v>0</v>
      </c>
    </row>
    <row r="182" ht="16.5" spans="1:18">
      <c r="A182" s="17">
        <v>970</v>
      </c>
      <c r="B182" s="17" t="s">
        <v>689</v>
      </c>
      <c r="C182" s="17">
        <v>1575.299</v>
      </c>
      <c r="D182" s="17">
        <v>1723.917</v>
      </c>
      <c r="E182" s="17">
        <v>0</v>
      </c>
      <c r="F182" s="17">
        <v>0</v>
      </c>
      <c r="G182" s="17">
        <v>1</v>
      </c>
      <c r="H182" s="18">
        <v>0</v>
      </c>
      <c r="I182" s="18">
        <v>0</v>
      </c>
      <c r="J182" s="18">
        <v>0</v>
      </c>
      <c r="K182" s="19">
        <v>2</v>
      </c>
      <c r="L182" s="19">
        <v>1</v>
      </c>
      <c r="M182" s="19">
        <v>0</v>
      </c>
      <c r="N182" s="19">
        <v>0</v>
      </c>
      <c r="O182" s="19">
        <v>0</v>
      </c>
      <c r="P182" s="19">
        <v>-1.198</v>
      </c>
      <c r="Q182" s="19">
        <v>0</v>
      </c>
      <c r="R182" s="19">
        <v>0</v>
      </c>
    </row>
    <row r="183" ht="16.5" spans="1:18">
      <c r="A183" s="17">
        <v>971</v>
      </c>
      <c r="B183" s="17" t="s">
        <v>690</v>
      </c>
      <c r="C183" s="17">
        <v>2529.752</v>
      </c>
      <c r="D183" s="17">
        <v>2835.734</v>
      </c>
      <c r="E183" s="17">
        <v>0</v>
      </c>
      <c r="F183" s="17">
        <v>0</v>
      </c>
      <c r="G183" s="17">
        <v>1</v>
      </c>
      <c r="H183" s="18">
        <v>0</v>
      </c>
      <c r="I183" s="18">
        <v>0</v>
      </c>
      <c r="J183" s="18">
        <v>0</v>
      </c>
      <c r="K183" s="19">
        <v>4</v>
      </c>
      <c r="L183" s="19">
        <v>0</v>
      </c>
      <c r="M183" s="19">
        <v>0</v>
      </c>
      <c r="N183" s="19">
        <v>1</v>
      </c>
      <c r="O183" s="19">
        <v>0</v>
      </c>
      <c r="P183" s="19">
        <v>-23.015</v>
      </c>
      <c r="Q183" s="19">
        <v>0</v>
      </c>
      <c r="R183" s="19">
        <v>0</v>
      </c>
    </row>
    <row r="184" ht="16.5" spans="1:18">
      <c r="A184" s="17">
        <v>974</v>
      </c>
      <c r="B184" s="17" t="s">
        <v>691</v>
      </c>
      <c r="C184" s="17">
        <v>6064.87</v>
      </c>
      <c r="D184" s="17">
        <v>6800.212</v>
      </c>
      <c r="E184" s="17">
        <v>0</v>
      </c>
      <c r="F184" s="17">
        <v>0</v>
      </c>
      <c r="G184" s="17">
        <v>1</v>
      </c>
      <c r="H184" s="18">
        <v>0</v>
      </c>
      <c r="I184" s="18">
        <v>0</v>
      </c>
      <c r="J184" s="18">
        <v>0</v>
      </c>
      <c r="K184" s="19">
        <v>2</v>
      </c>
      <c r="L184" s="19">
        <v>0</v>
      </c>
      <c r="M184" s="19">
        <v>0</v>
      </c>
      <c r="N184" s="19">
        <v>0</v>
      </c>
      <c r="O184" s="19">
        <v>0</v>
      </c>
      <c r="P184" s="19">
        <v>-3.452</v>
      </c>
      <c r="Q184" s="19">
        <v>0</v>
      </c>
      <c r="R184" s="19">
        <v>0</v>
      </c>
    </row>
    <row r="185" ht="16.5" spans="1:18">
      <c r="A185" s="17">
        <v>977</v>
      </c>
      <c r="B185" s="17" t="s">
        <v>692</v>
      </c>
      <c r="C185" s="17">
        <v>1502.304</v>
      </c>
      <c r="D185" s="17">
        <v>1738.181</v>
      </c>
      <c r="E185" s="17">
        <v>0</v>
      </c>
      <c r="F185" s="17">
        <v>0</v>
      </c>
      <c r="G185" s="17">
        <v>1</v>
      </c>
      <c r="H185" s="18">
        <v>0</v>
      </c>
      <c r="I185" s="18">
        <v>0</v>
      </c>
      <c r="J185" s="18">
        <v>0</v>
      </c>
      <c r="K185" s="19">
        <v>3</v>
      </c>
      <c r="L185" s="19">
        <v>0</v>
      </c>
      <c r="M185" s="19">
        <v>0</v>
      </c>
      <c r="N185" s="19">
        <v>0</v>
      </c>
      <c r="O185" s="19">
        <v>0</v>
      </c>
      <c r="P185" s="19">
        <v>-13.716</v>
      </c>
      <c r="Q185" s="19">
        <v>0</v>
      </c>
      <c r="R185" s="19">
        <v>-1</v>
      </c>
    </row>
    <row r="186" ht="16.5" spans="1:18">
      <c r="A186" s="17">
        <v>979</v>
      </c>
      <c r="B186" s="17" t="s">
        <v>693</v>
      </c>
      <c r="C186" s="17">
        <v>4571.384</v>
      </c>
      <c r="D186" s="17">
        <v>5115.824</v>
      </c>
      <c r="E186" s="17">
        <v>0</v>
      </c>
      <c r="F186" s="17">
        <v>0</v>
      </c>
      <c r="G186" s="17">
        <v>1</v>
      </c>
      <c r="H186" s="18">
        <v>0</v>
      </c>
      <c r="I186" s="18">
        <v>0</v>
      </c>
      <c r="J186" s="18">
        <v>0</v>
      </c>
      <c r="K186" s="19">
        <v>2</v>
      </c>
      <c r="L186" s="19">
        <v>0</v>
      </c>
      <c r="M186" s="19">
        <v>0</v>
      </c>
      <c r="N186" s="19">
        <v>0</v>
      </c>
      <c r="O186" s="19">
        <v>0</v>
      </c>
      <c r="P186" s="19">
        <v>-39.102</v>
      </c>
      <c r="Q186" s="19">
        <v>0</v>
      </c>
      <c r="R186" s="19">
        <v>0</v>
      </c>
    </row>
    <row r="187" ht="16.5" spans="1:18">
      <c r="A187" s="17">
        <v>980</v>
      </c>
      <c r="B187" s="17" t="s">
        <v>694</v>
      </c>
      <c r="C187" s="17">
        <v>2857.306</v>
      </c>
      <c r="D187" s="17">
        <v>3152.138</v>
      </c>
      <c r="E187" s="17">
        <v>0</v>
      </c>
      <c r="F187" s="17">
        <v>0</v>
      </c>
      <c r="G187" s="17">
        <v>1</v>
      </c>
      <c r="H187" s="18">
        <v>0</v>
      </c>
      <c r="I187" s="18">
        <v>0</v>
      </c>
      <c r="J187" s="18">
        <v>0</v>
      </c>
      <c r="K187" s="19">
        <v>4</v>
      </c>
      <c r="L187" s="19">
        <v>0</v>
      </c>
      <c r="M187" s="19">
        <v>0</v>
      </c>
      <c r="N187" s="19">
        <v>0</v>
      </c>
      <c r="O187" s="19">
        <v>0</v>
      </c>
      <c r="P187" s="19">
        <v>-98.575</v>
      </c>
      <c r="Q187" s="19">
        <v>0</v>
      </c>
      <c r="R187" s="19">
        <v>0</v>
      </c>
    </row>
    <row r="188" ht="16.5" spans="1:18">
      <c r="A188" s="17">
        <v>984</v>
      </c>
      <c r="B188" s="17" t="s">
        <v>695</v>
      </c>
      <c r="C188" s="17">
        <v>3727.066</v>
      </c>
      <c r="D188" s="17">
        <v>4165.124</v>
      </c>
      <c r="E188" s="17">
        <v>0</v>
      </c>
      <c r="F188" s="17">
        <v>0</v>
      </c>
      <c r="G188" s="17">
        <v>1</v>
      </c>
      <c r="H188" s="18">
        <v>0</v>
      </c>
      <c r="I188" s="18">
        <v>0</v>
      </c>
      <c r="J188" s="18">
        <v>0</v>
      </c>
      <c r="K188" s="19">
        <v>3</v>
      </c>
      <c r="L188" s="19">
        <v>0</v>
      </c>
      <c r="M188" s="19">
        <v>0</v>
      </c>
      <c r="N188" s="19">
        <v>0</v>
      </c>
      <c r="O188" s="19">
        <v>0</v>
      </c>
      <c r="P188" s="19">
        <v>-34.367</v>
      </c>
      <c r="Q188" s="19">
        <v>0</v>
      </c>
      <c r="R188" s="19">
        <v>0</v>
      </c>
    </row>
    <row r="189" ht="16.5" spans="1:18">
      <c r="A189" s="17">
        <v>985</v>
      </c>
      <c r="B189" s="17" t="s">
        <v>696</v>
      </c>
      <c r="C189" s="17">
        <v>4428.279</v>
      </c>
      <c r="D189" s="17">
        <v>5096.989</v>
      </c>
      <c r="E189" s="17">
        <v>0</v>
      </c>
      <c r="F189" s="17">
        <v>0</v>
      </c>
      <c r="G189" s="17">
        <v>1</v>
      </c>
      <c r="H189" s="18">
        <v>0</v>
      </c>
      <c r="I189" s="18">
        <v>0</v>
      </c>
      <c r="J189" s="18">
        <v>0</v>
      </c>
      <c r="K189" s="19">
        <v>3</v>
      </c>
      <c r="L189" s="19">
        <v>1</v>
      </c>
      <c r="M189" s="19">
        <v>0</v>
      </c>
      <c r="N189" s="19">
        <v>0</v>
      </c>
      <c r="O189" s="19">
        <v>0</v>
      </c>
      <c r="P189" s="19">
        <v>-3.175</v>
      </c>
      <c r="Q189" s="19">
        <v>0</v>
      </c>
      <c r="R189" s="19">
        <v>0</v>
      </c>
    </row>
    <row r="190" ht="16.5" spans="1:18">
      <c r="A190" s="17">
        <v>986</v>
      </c>
      <c r="B190" s="17" t="s">
        <v>697</v>
      </c>
      <c r="C190" s="17">
        <v>2123.252</v>
      </c>
      <c r="D190" s="17">
        <v>2443.829</v>
      </c>
      <c r="E190" s="17">
        <v>0</v>
      </c>
      <c r="F190" s="17">
        <v>0</v>
      </c>
      <c r="G190" s="17">
        <v>1</v>
      </c>
      <c r="H190" s="18">
        <v>0</v>
      </c>
      <c r="I190" s="18">
        <v>0</v>
      </c>
      <c r="J190" s="18">
        <v>0</v>
      </c>
      <c r="K190" s="19">
        <v>3</v>
      </c>
      <c r="L190" s="19">
        <v>0</v>
      </c>
      <c r="M190" s="19">
        <v>0</v>
      </c>
      <c r="N190" s="19">
        <v>0</v>
      </c>
      <c r="O190" s="19">
        <v>0</v>
      </c>
      <c r="P190" s="19">
        <v>-15.918</v>
      </c>
      <c r="Q190" s="19">
        <v>0</v>
      </c>
      <c r="R190" s="19">
        <v>0</v>
      </c>
    </row>
    <row r="191" ht="16.5" spans="1:18">
      <c r="A191" s="17">
        <v>987</v>
      </c>
      <c r="B191" s="17" t="s">
        <v>698</v>
      </c>
      <c r="C191" s="17">
        <v>3015.005</v>
      </c>
      <c r="D191" s="17">
        <v>3405.403</v>
      </c>
      <c r="E191" s="17">
        <v>0</v>
      </c>
      <c r="F191" s="17">
        <v>0</v>
      </c>
      <c r="G191" s="17">
        <v>1</v>
      </c>
      <c r="H191" s="18">
        <v>0</v>
      </c>
      <c r="I191" s="18">
        <v>0</v>
      </c>
      <c r="J191" s="18">
        <v>0</v>
      </c>
      <c r="K191" s="19">
        <v>3</v>
      </c>
      <c r="L191" s="19">
        <v>0</v>
      </c>
      <c r="M191" s="19">
        <v>0</v>
      </c>
      <c r="N191" s="19">
        <v>0</v>
      </c>
      <c r="O191" s="19">
        <v>0</v>
      </c>
      <c r="P191" s="19">
        <v>-3.173</v>
      </c>
      <c r="Q191" s="19">
        <v>0</v>
      </c>
      <c r="R191" s="19">
        <v>0</v>
      </c>
    </row>
    <row r="192" ht="16.5" spans="1:18">
      <c r="A192" s="17">
        <v>988</v>
      </c>
      <c r="B192" s="17" t="s">
        <v>699</v>
      </c>
      <c r="C192" s="17">
        <v>3097.422</v>
      </c>
      <c r="D192" s="17">
        <v>3550.164</v>
      </c>
      <c r="E192" s="17">
        <v>0</v>
      </c>
      <c r="F192" s="17">
        <v>0</v>
      </c>
      <c r="G192" s="17">
        <v>1</v>
      </c>
      <c r="H192" s="18">
        <v>0</v>
      </c>
      <c r="I192" s="18">
        <v>0</v>
      </c>
      <c r="J192" s="18">
        <v>0</v>
      </c>
      <c r="K192" s="19">
        <v>3</v>
      </c>
      <c r="L192" s="19">
        <v>0</v>
      </c>
      <c r="M192" s="19">
        <v>0</v>
      </c>
      <c r="N192" s="19">
        <v>0</v>
      </c>
      <c r="O192" s="19">
        <v>0</v>
      </c>
      <c r="P192" s="19">
        <v>-36.348</v>
      </c>
      <c r="Q192" s="19">
        <v>0</v>
      </c>
      <c r="R192" s="19">
        <v>0</v>
      </c>
    </row>
    <row r="193" ht="16.5" spans="1:18">
      <c r="A193" s="17">
        <v>989</v>
      </c>
      <c r="B193" s="17" t="s">
        <v>700</v>
      </c>
      <c r="C193" s="17">
        <v>4916.369</v>
      </c>
      <c r="D193" s="17">
        <v>5500.074</v>
      </c>
      <c r="E193" s="17">
        <v>0</v>
      </c>
      <c r="F193" s="17">
        <v>0</v>
      </c>
      <c r="G193" s="17">
        <v>1</v>
      </c>
      <c r="H193" s="18">
        <v>0</v>
      </c>
      <c r="I193" s="18">
        <v>0</v>
      </c>
      <c r="J193" s="18">
        <v>0</v>
      </c>
      <c r="K193" s="19">
        <v>3</v>
      </c>
      <c r="L193" s="19">
        <v>0</v>
      </c>
      <c r="M193" s="19">
        <v>0</v>
      </c>
      <c r="N193" s="19">
        <v>1</v>
      </c>
      <c r="O193" s="19">
        <v>0</v>
      </c>
      <c r="P193" s="19">
        <v>-42.312</v>
      </c>
      <c r="Q193" s="19">
        <v>0</v>
      </c>
      <c r="R193" s="19">
        <v>0</v>
      </c>
    </row>
    <row r="194" ht="16.5" spans="1:18">
      <c r="A194" s="17">
        <v>992</v>
      </c>
      <c r="B194" s="17" t="s">
        <v>11</v>
      </c>
      <c r="C194" s="17">
        <v>5188.619</v>
      </c>
      <c r="D194" s="17">
        <v>5859.82</v>
      </c>
      <c r="E194" s="17">
        <v>0</v>
      </c>
      <c r="F194" s="17">
        <v>0</v>
      </c>
      <c r="G194" s="17">
        <v>1</v>
      </c>
      <c r="H194" s="18">
        <v>0</v>
      </c>
      <c r="I194" s="18">
        <v>0</v>
      </c>
      <c r="J194" s="18">
        <v>0</v>
      </c>
      <c r="K194" s="19">
        <v>3</v>
      </c>
      <c r="L194" s="19">
        <v>0</v>
      </c>
      <c r="M194" s="19">
        <v>1</v>
      </c>
      <c r="N194" s="19">
        <v>-1</v>
      </c>
      <c r="O194" s="19">
        <v>0</v>
      </c>
      <c r="P194" s="19">
        <v>-27.973</v>
      </c>
      <c r="Q194" s="19">
        <v>0</v>
      </c>
      <c r="R194" s="19">
        <v>0</v>
      </c>
    </row>
    <row r="195" ht="16.5" spans="1:18">
      <c r="A195" s="17">
        <v>993</v>
      </c>
      <c r="B195" s="17" t="s">
        <v>27</v>
      </c>
      <c r="C195" s="17">
        <v>5559.248</v>
      </c>
      <c r="D195" s="17">
        <v>6881.404</v>
      </c>
      <c r="E195" s="17">
        <v>0</v>
      </c>
      <c r="F195" s="17">
        <v>0</v>
      </c>
      <c r="G195" s="17">
        <v>1</v>
      </c>
      <c r="H195" s="18">
        <v>0</v>
      </c>
      <c r="I195" s="18">
        <v>0</v>
      </c>
      <c r="J195" s="18">
        <v>0</v>
      </c>
      <c r="K195" s="19">
        <v>2</v>
      </c>
      <c r="L195" s="19">
        <v>0</v>
      </c>
      <c r="M195" s="19">
        <v>0</v>
      </c>
      <c r="N195" s="19">
        <v>0</v>
      </c>
      <c r="O195" s="19">
        <v>0</v>
      </c>
      <c r="P195" s="19">
        <v>-4.656</v>
      </c>
      <c r="Q195" s="19">
        <v>0</v>
      </c>
      <c r="R195" s="19">
        <v>1</v>
      </c>
    </row>
    <row r="196" ht="16.5" spans="1:18">
      <c r="A196" s="17">
        <v>994</v>
      </c>
      <c r="B196" s="17" t="s">
        <v>701</v>
      </c>
      <c r="C196" s="17">
        <v>6163.048</v>
      </c>
      <c r="D196" s="17">
        <v>7456.665</v>
      </c>
      <c r="E196" s="17">
        <v>0</v>
      </c>
      <c r="F196" s="17">
        <v>0</v>
      </c>
      <c r="G196" s="17">
        <v>1</v>
      </c>
      <c r="H196" s="18">
        <v>0</v>
      </c>
      <c r="I196" s="18">
        <v>0</v>
      </c>
      <c r="J196" s="18">
        <v>0</v>
      </c>
      <c r="K196" s="19">
        <v>2</v>
      </c>
      <c r="L196" s="19">
        <v>0</v>
      </c>
      <c r="M196" s="19">
        <v>0</v>
      </c>
      <c r="N196" s="19">
        <v>0</v>
      </c>
      <c r="O196" s="19">
        <v>0</v>
      </c>
      <c r="P196" s="19">
        <v>-2.009</v>
      </c>
      <c r="Q196" s="19">
        <v>0</v>
      </c>
      <c r="R196" s="19">
        <v>1</v>
      </c>
    </row>
    <row r="197" ht="16.5" spans="1:18">
      <c r="A197" s="17">
        <v>998</v>
      </c>
      <c r="B197" s="17" t="s">
        <v>702</v>
      </c>
      <c r="C197" s="17">
        <v>1879.429</v>
      </c>
      <c r="D197" s="17">
        <v>2326.681</v>
      </c>
      <c r="E197" s="17">
        <v>0</v>
      </c>
      <c r="F197" s="17">
        <v>0</v>
      </c>
      <c r="G197" s="17">
        <v>1</v>
      </c>
      <c r="H197" s="18">
        <v>0</v>
      </c>
      <c r="I197" s="18">
        <v>0</v>
      </c>
      <c r="J197" s="18">
        <v>0</v>
      </c>
      <c r="K197" s="19">
        <v>1</v>
      </c>
      <c r="L197" s="19">
        <v>0</v>
      </c>
      <c r="M197" s="19">
        <v>0</v>
      </c>
      <c r="N197" s="19">
        <v>0</v>
      </c>
      <c r="O197" s="19">
        <v>0</v>
      </c>
      <c r="P197" s="19">
        <v>-5.759</v>
      </c>
      <c r="Q197" s="19">
        <v>0</v>
      </c>
      <c r="R197" s="19">
        <v>0</v>
      </c>
    </row>
    <row r="198" ht="16.5" spans="1:18">
      <c r="A198" s="17">
        <v>399001</v>
      </c>
      <c r="B198" s="17" t="s">
        <v>49</v>
      </c>
      <c r="C198" s="17">
        <v>9685.871</v>
      </c>
      <c r="D198" s="17">
        <v>11207.88</v>
      </c>
      <c r="E198" s="17">
        <v>0</v>
      </c>
      <c r="F198" s="17">
        <v>0</v>
      </c>
      <c r="G198" s="17">
        <v>1</v>
      </c>
      <c r="H198" s="18">
        <v>0</v>
      </c>
      <c r="I198" s="18">
        <v>0</v>
      </c>
      <c r="J198" s="18">
        <v>0</v>
      </c>
      <c r="K198" s="19">
        <v>4</v>
      </c>
      <c r="L198" s="19">
        <v>0</v>
      </c>
      <c r="M198" s="19">
        <v>0</v>
      </c>
      <c r="N198" s="19">
        <v>0</v>
      </c>
      <c r="O198" s="19">
        <v>0</v>
      </c>
      <c r="P198" s="19">
        <v>-10.801</v>
      </c>
      <c r="Q198" s="19">
        <v>0</v>
      </c>
      <c r="R198" s="19">
        <v>0</v>
      </c>
    </row>
    <row r="199" ht="16.5" spans="1:18">
      <c r="A199" s="17">
        <v>399002</v>
      </c>
      <c r="B199" s="17" t="s">
        <v>76</v>
      </c>
      <c r="C199" s="17">
        <v>12762.254</v>
      </c>
      <c r="D199" s="17">
        <v>14768.537</v>
      </c>
      <c r="E199" s="17">
        <v>0</v>
      </c>
      <c r="F199" s="17">
        <v>0</v>
      </c>
      <c r="G199" s="17">
        <v>1</v>
      </c>
      <c r="H199" s="18">
        <v>0</v>
      </c>
      <c r="I199" s="18">
        <v>0</v>
      </c>
      <c r="J199" s="18">
        <v>0</v>
      </c>
      <c r="K199" s="19">
        <v>3</v>
      </c>
      <c r="L199" s="19">
        <v>0</v>
      </c>
      <c r="M199" s="19">
        <v>0</v>
      </c>
      <c r="N199" s="19">
        <v>1</v>
      </c>
      <c r="O199" s="19">
        <v>0</v>
      </c>
      <c r="P199" s="19">
        <v>-4.86</v>
      </c>
      <c r="Q199" s="19">
        <v>1</v>
      </c>
      <c r="R199" s="19">
        <v>0</v>
      </c>
    </row>
    <row r="200" ht="16.5" spans="1:18">
      <c r="A200" s="17">
        <v>399003</v>
      </c>
      <c r="B200" s="17" t="s">
        <v>448</v>
      </c>
      <c r="C200" s="17">
        <v>7676.677</v>
      </c>
      <c r="D200" s="17">
        <v>8400.829</v>
      </c>
      <c r="E200" s="17">
        <v>0</v>
      </c>
      <c r="F200" s="17">
        <v>0</v>
      </c>
      <c r="G200" s="17">
        <v>1</v>
      </c>
      <c r="H200" s="18">
        <v>0</v>
      </c>
      <c r="I200" s="18">
        <v>0</v>
      </c>
      <c r="J200" s="18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-14.175</v>
      </c>
      <c r="Q200" s="19">
        <v>0</v>
      </c>
      <c r="R200" s="19">
        <v>1</v>
      </c>
    </row>
    <row r="201" ht="16.5" spans="1:18">
      <c r="A201" s="17">
        <v>399004</v>
      </c>
      <c r="B201" s="17" t="s">
        <v>703</v>
      </c>
      <c r="C201" s="17">
        <v>6048.837</v>
      </c>
      <c r="D201" s="17">
        <v>6892.767</v>
      </c>
      <c r="E201" s="17">
        <v>0</v>
      </c>
      <c r="F201" s="17">
        <v>0</v>
      </c>
      <c r="G201" s="17">
        <v>1</v>
      </c>
      <c r="H201" s="18">
        <v>0</v>
      </c>
      <c r="I201" s="18">
        <v>0</v>
      </c>
      <c r="J201" s="18">
        <v>0</v>
      </c>
      <c r="K201" s="19">
        <v>4</v>
      </c>
      <c r="L201" s="19">
        <v>0</v>
      </c>
      <c r="M201" s="19">
        <v>0</v>
      </c>
      <c r="N201" s="19">
        <v>0</v>
      </c>
      <c r="O201" s="19">
        <v>0</v>
      </c>
      <c r="P201" s="19">
        <v>-12.066</v>
      </c>
      <c r="Q201" s="19">
        <v>0</v>
      </c>
      <c r="R201" s="19">
        <v>0</v>
      </c>
    </row>
    <row r="202" ht="16.5" spans="1:18">
      <c r="A202" s="17">
        <v>399005</v>
      </c>
      <c r="B202" s="17" t="s">
        <v>704</v>
      </c>
      <c r="C202" s="17">
        <v>5982.149</v>
      </c>
      <c r="D202" s="17">
        <v>6932.817</v>
      </c>
      <c r="E202" s="17">
        <v>0</v>
      </c>
      <c r="F202" s="17">
        <v>0</v>
      </c>
      <c r="G202" s="17">
        <v>1</v>
      </c>
      <c r="H202" s="18">
        <v>0</v>
      </c>
      <c r="I202" s="18">
        <v>0</v>
      </c>
      <c r="J202" s="18">
        <v>0</v>
      </c>
      <c r="K202" s="19">
        <v>3</v>
      </c>
      <c r="L202" s="19">
        <v>0</v>
      </c>
      <c r="M202" s="19">
        <v>0</v>
      </c>
      <c r="N202" s="19">
        <v>0</v>
      </c>
      <c r="O202" s="19">
        <v>0</v>
      </c>
      <c r="P202" s="19">
        <v>-10.873</v>
      </c>
      <c r="Q202" s="19">
        <v>0</v>
      </c>
      <c r="R202" s="19">
        <v>1</v>
      </c>
    </row>
    <row r="203" ht="16.5" spans="1:18">
      <c r="A203" s="17">
        <v>399006</v>
      </c>
      <c r="B203" s="17" t="s">
        <v>705</v>
      </c>
      <c r="C203" s="17">
        <v>1950.416</v>
      </c>
      <c r="D203" s="17">
        <v>2352.95</v>
      </c>
      <c r="E203" s="17">
        <v>0</v>
      </c>
      <c r="F203" s="17">
        <v>0</v>
      </c>
      <c r="G203" s="17">
        <v>1</v>
      </c>
      <c r="H203" s="18">
        <v>0</v>
      </c>
      <c r="I203" s="18">
        <v>0</v>
      </c>
      <c r="J203" s="18">
        <v>0</v>
      </c>
      <c r="K203" s="19">
        <v>3</v>
      </c>
      <c r="L203" s="19">
        <v>0</v>
      </c>
      <c r="M203" s="19">
        <v>0</v>
      </c>
      <c r="N203" s="19">
        <v>0</v>
      </c>
      <c r="O203" s="19">
        <v>0</v>
      </c>
      <c r="P203" s="19">
        <v>-7.063</v>
      </c>
      <c r="Q203" s="19">
        <v>-1</v>
      </c>
      <c r="R203" s="19">
        <v>0</v>
      </c>
    </row>
    <row r="204" ht="16.5" spans="1:18">
      <c r="A204" s="17">
        <v>399007</v>
      </c>
      <c r="B204" s="17" t="s">
        <v>706</v>
      </c>
      <c r="C204" s="17">
        <v>4090.126</v>
      </c>
      <c r="D204" s="17">
        <v>4700.14</v>
      </c>
      <c r="E204" s="17">
        <v>0</v>
      </c>
      <c r="F204" s="17">
        <v>0</v>
      </c>
      <c r="G204" s="17">
        <v>1</v>
      </c>
      <c r="H204" s="18">
        <v>0</v>
      </c>
      <c r="I204" s="18">
        <v>0</v>
      </c>
      <c r="J204" s="18">
        <v>0</v>
      </c>
      <c r="K204" s="19">
        <v>3</v>
      </c>
      <c r="L204" s="19">
        <v>0</v>
      </c>
      <c r="M204" s="19">
        <v>0</v>
      </c>
      <c r="N204" s="19">
        <v>0</v>
      </c>
      <c r="O204" s="19">
        <v>0</v>
      </c>
      <c r="P204" s="19">
        <v>-13.86</v>
      </c>
      <c r="Q204" s="19">
        <v>0</v>
      </c>
      <c r="R204" s="19">
        <v>1</v>
      </c>
    </row>
    <row r="205" ht="16.5" spans="1:18">
      <c r="A205" s="17">
        <v>399008</v>
      </c>
      <c r="B205" s="17" t="s">
        <v>707</v>
      </c>
      <c r="C205" s="17">
        <v>1200.219</v>
      </c>
      <c r="D205" s="17">
        <v>1395.519</v>
      </c>
      <c r="E205" s="17">
        <v>0</v>
      </c>
      <c r="F205" s="17">
        <v>0</v>
      </c>
      <c r="G205" s="17">
        <v>1</v>
      </c>
      <c r="H205" s="18">
        <v>0</v>
      </c>
      <c r="I205" s="18">
        <v>0</v>
      </c>
      <c r="J205" s="18">
        <v>0</v>
      </c>
      <c r="K205" s="19">
        <v>3</v>
      </c>
      <c r="L205" s="19">
        <v>0</v>
      </c>
      <c r="M205" s="19">
        <v>0</v>
      </c>
      <c r="N205" s="19">
        <v>0</v>
      </c>
      <c r="O205" s="19">
        <v>0</v>
      </c>
      <c r="P205" s="19">
        <v>-20.37</v>
      </c>
      <c r="Q205" s="19">
        <v>0</v>
      </c>
      <c r="R205" s="19">
        <v>0</v>
      </c>
    </row>
    <row r="206" ht="16.5" spans="1:18">
      <c r="A206" s="17">
        <v>399009</v>
      </c>
      <c r="B206" s="17" t="s">
        <v>708</v>
      </c>
      <c r="C206" s="17">
        <v>3504.119</v>
      </c>
      <c r="D206" s="17">
        <v>4136.817</v>
      </c>
      <c r="E206" s="17">
        <v>0</v>
      </c>
      <c r="F206" s="17">
        <v>0</v>
      </c>
      <c r="G206" s="17">
        <v>1</v>
      </c>
      <c r="H206" s="18">
        <v>0</v>
      </c>
      <c r="I206" s="18">
        <v>0</v>
      </c>
      <c r="J206" s="18">
        <v>0</v>
      </c>
      <c r="K206" s="19">
        <v>3</v>
      </c>
      <c r="L206" s="19">
        <v>0</v>
      </c>
      <c r="M206" s="19">
        <v>0</v>
      </c>
      <c r="N206" s="19">
        <v>0</v>
      </c>
      <c r="O206" s="19">
        <v>0</v>
      </c>
      <c r="P206" s="19">
        <v>-6.206</v>
      </c>
      <c r="Q206" s="19">
        <v>0</v>
      </c>
      <c r="R206" s="19">
        <v>0</v>
      </c>
    </row>
    <row r="207" ht="16.5" spans="1:18">
      <c r="A207" s="17">
        <v>399010</v>
      </c>
      <c r="B207" s="17" t="s">
        <v>709</v>
      </c>
      <c r="C207" s="17">
        <v>6279.853</v>
      </c>
      <c r="D207" s="17">
        <v>7716.416</v>
      </c>
      <c r="E207" s="17">
        <v>0</v>
      </c>
      <c r="F207" s="17">
        <v>0</v>
      </c>
      <c r="G207" s="17">
        <v>1</v>
      </c>
      <c r="H207" s="18">
        <v>0</v>
      </c>
      <c r="I207" s="18">
        <v>0</v>
      </c>
      <c r="J207" s="18">
        <v>0</v>
      </c>
      <c r="K207" s="19">
        <v>3</v>
      </c>
      <c r="L207" s="19">
        <v>0</v>
      </c>
      <c r="M207" s="19">
        <v>0</v>
      </c>
      <c r="N207" s="19">
        <v>0</v>
      </c>
      <c r="O207" s="19">
        <v>0</v>
      </c>
      <c r="P207" s="19">
        <v>-11.395</v>
      </c>
      <c r="Q207" s="19">
        <v>-1</v>
      </c>
      <c r="R207" s="19">
        <v>0</v>
      </c>
    </row>
    <row r="208" ht="16.5" spans="1:18">
      <c r="A208" s="17">
        <v>399011</v>
      </c>
      <c r="B208" s="17" t="s">
        <v>710</v>
      </c>
      <c r="C208" s="17">
        <v>4698.196</v>
      </c>
      <c r="D208" s="17">
        <v>5492.018</v>
      </c>
      <c r="E208" s="17">
        <v>0</v>
      </c>
      <c r="F208" s="17">
        <v>0</v>
      </c>
      <c r="G208" s="17">
        <v>1</v>
      </c>
      <c r="H208" s="18">
        <v>0</v>
      </c>
      <c r="I208" s="18">
        <v>0</v>
      </c>
      <c r="J208" s="18">
        <v>0</v>
      </c>
      <c r="K208" s="19">
        <v>3</v>
      </c>
      <c r="L208" s="19">
        <v>0</v>
      </c>
      <c r="M208" s="19">
        <v>0</v>
      </c>
      <c r="N208" s="19">
        <v>0</v>
      </c>
      <c r="O208" s="19">
        <v>0</v>
      </c>
      <c r="P208" s="19">
        <v>-26.551</v>
      </c>
      <c r="Q208" s="19">
        <v>0</v>
      </c>
      <c r="R208" s="19">
        <v>0</v>
      </c>
    </row>
    <row r="209" ht="16.5" spans="1:18">
      <c r="A209" s="17">
        <v>399012</v>
      </c>
      <c r="B209" s="17" t="s">
        <v>711</v>
      </c>
      <c r="C209" s="17">
        <v>2851.311</v>
      </c>
      <c r="D209" s="17">
        <v>3492.59</v>
      </c>
      <c r="E209" s="17">
        <v>0</v>
      </c>
      <c r="F209" s="17">
        <v>0</v>
      </c>
      <c r="G209" s="17">
        <v>1</v>
      </c>
      <c r="H209" s="18">
        <v>0</v>
      </c>
      <c r="I209" s="18">
        <v>0</v>
      </c>
      <c r="J209" s="18">
        <v>0</v>
      </c>
      <c r="K209" s="19">
        <v>3</v>
      </c>
      <c r="L209" s="19">
        <v>0</v>
      </c>
      <c r="M209" s="19">
        <v>0</v>
      </c>
      <c r="N209" s="19">
        <v>0</v>
      </c>
      <c r="O209" s="19">
        <v>0</v>
      </c>
      <c r="P209" s="19">
        <v>-11.619</v>
      </c>
      <c r="Q209" s="19">
        <v>0</v>
      </c>
      <c r="R209" s="19">
        <v>0</v>
      </c>
    </row>
    <row r="210" ht="16.5" spans="1:18">
      <c r="A210" s="17">
        <v>399013</v>
      </c>
      <c r="B210" s="17" t="s">
        <v>712</v>
      </c>
      <c r="C210" s="17">
        <v>4274.608</v>
      </c>
      <c r="D210" s="17">
        <v>4866.84</v>
      </c>
      <c r="E210" s="17">
        <v>0</v>
      </c>
      <c r="F210" s="17">
        <v>0</v>
      </c>
      <c r="G210" s="17">
        <v>1</v>
      </c>
      <c r="H210" s="18">
        <v>0</v>
      </c>
      <c r="I210" s="18">
        <v>0</v>
      </c>
      <c r="J210" s="18">
        <v>0</v>
      </c>
      <c r="K210" s="19">
        <v>3</v>
      </c>
      <c r="L210" s="19">
        <v>0</v>
      </c>
      <c r="M210" s="19">
        <v>0</v>
      </c>
      <c r="N210" s="19">
        <v>0</v>
      </c>
      <c r="O210" s="19">
        <v>0</v>
      </c>
      <c r="P210" s="19">
        <v>-18.032</v>
      </c>
      <c r="Q210" s="19">
        <v>0</v>
      </c>
      <c r="R210" s="19">
        <v>0</v>
      </c>
    </row>
    <row r="211" ht="16.5" spans="1:18">
      <c r="A211" s="17">
        <v>399018</v>
      </c>
      <c r="B211" s="17" t="s">
        <v>496</v>
      </c>
      <c r="C211" s="17">
        <v>3774.201</v>
      </c>
      <c r="D211" s="17">
        <v>4783.603</v>
      </c>
      <c r="E211" s="17">
        <v>0</v>
      </c>
      <c r="F211" s="17">
        <v>0</v>
      </c>
      <c r="G211" s="17">
        <v>1</v>
      </c>
      <c r="H211" s="18">
        <v>0</v>
      </c>
      <c r="I211" s="18">
        <v>0</v>
      </c>
      <c r="J211" s="18">
        <v>0</v>
      </c>
      <c r="K211" s="19">
        <v>2</v>
      </c>
      <c r="L211" s="19">
        <v>0</v>
      </c>
      <c r="M211" s="19">
        <v>0</v>
      </c>
      <c r="N211" s="19">
        <v>1</v>
      </c>
      <c r="O211" s="19">
        <v>0</v>
      </c>
      <c r="P211" s="19">
        <v>-7.143</v>
      </c>
      <c r="Q211" s="19">
        <v>0</v>
      </c>
      <c r="R211" s="19">
        <v>0</v>
      </c>
    </row>
    <row r="212" ht="16.5" spans="1:18">
      <c r="A212" s="17">
        <v>399019</v>
      </c>
      <c r="B212" s="17" t="s">
        <v>495</v>
      </c>
      <c r="C212" s="17">
        <v>3140.546</v>
      </c>
      <c r="D212" s="17">
        <v>4092.711</v>
      </c>
      <c r="E212" s="17">
        <v>0</v>
      </c>
      <c r="F212" s="17">
        <v>0</v>
      </c>
      <c r="G212" s="17">
        <v>1</v>
      </c>
      <c r="H212" s="18">
        <v>0</v>
      </c>
      <c r="I212" s="18">
        <v>0</v>
      </c>
      <c r="J212" s="18">
        <v>0</v>
      </c>
      <c r="K212" s="19">
        <v>0</v>
      </c>
      <c r="L212" s="19">
        <v>0</v>
      </c>
      <c r="M212" s="19">
        <v>1</v>
      </c>
      <c r="N212" s="19">
        <v>-1</v>
      </c>
      <c r="O212" s="19">
        <v>0</v>
      </c>
      <c r="P212" s="19">
        <v>-5.352</v>
      </c>
      <c r="Q212" s="19">
        <v>0</v>
      </c>
      <c r="R212" s="19">
        <v>0</v>
      </c>
    </row>
    <row r="213" ht="16.5" spans="1:18">
      <c r="A213" s="17">
        <v>399020</v>
      </c>
      <c r="B213" s="17" t="s">
        <v>494</v>
      </c>
      <c r="C213" s="17">
        <v>1234.113</v>
      </c>
      <c r="D213" s="17">
        <v>1583.566</v>
      </c>
      <c r="E213" s="17">
        <v>0</v>
      </c>
      <c r="F213" s="17">
        <v>0</v>
      </c>
      <c r="G213" s="17">
        <v>1</v>
      </c>
      <c r="H213" s="18">
        <v>0</v>
      </c>
      <c r="I213" s="18">
        <v>0</v>
      </c>
      <c r="J213" s="18">
        <v>0</v>
      </c>
      <c r="K213" s="19">
        <v>2</v>
      </c>
      <c r="L213" s="19">
        <v>0</v>
      </c>
      <c r="M213" s="19">
        <v>1</v>
      </c>
      <c r="N213" s="19">
        <v>-1</v>
      </c>
      <c r="O213" s="19">
        <v>0</v>
      </c>
      <c r="P213" s="19">
        <v>-7.461</v>
      </c>
      <c r="Q213" s="19">
        <v>0</v>
      </c>
      <c r="R213" s="19">
        <v>0</v>
      </c>
    </row>
    <row r="214" ht="16.5" spans="1:18">
      <c r="A214" s="17">
        <v>399030</v>
      </c>
      <c r="B214" s="17" t="s">
        <v>713</v>
      </c>
      <c r="C214" s="17">
        <v>2766.93</v>
      </c>
      <c r="D214" s="17">
        <v>3390.202</v>
      </c>
      <c r="E214" s="17">
        <v>0</v>
      </c>
      <c r="F214" s="17">
        <v>0</v>
      </c>
      <c r="G214" s="17">
        <v>1</v>
      </c>
      <c r="H214" s="18">
        <v>0</v>
      </c>
      <c r="I214" s="18">
        <v>0</v>
      </c>
      <c r="J214" s="18">
        <v>0</v>
      </c>
      <c r="K214" s="19">
        <v>3</v>
      </c>
      <c r="L214" s="19">
        <v>1</v>
      </c>
      <c r="M214" s="19">
        <v>1</v>
      </c>
      <c r="N214" s="19">
        <v>-1</v>
      </c>
      <c r="O214" s="19">
        <v>0</v>
      </c>
      <c r="P214" s="19">
        <v>-22.381</v>
      </c>
      <c r="Q214" s="19">
        <v>0</v>
      </c>
      <c r="R214" s="19">
        <v>0</v>
      </c>
    </row>
    <row r="215" ht="16.5" spans="1:18">
      <c r="A215" s="17">
        <v>399050</v>
      </c>
      <c r="B215" s="17" t="s">
        <v>714</v>
      </c>
      <c r="C215" s="17">
        <v>2344.054</v>
      </c>
      <c r="D215" s="17">
        <v>2798.159</v>
      </c>
      <c r="E215" s="17">
        <v>0</v>
      </c>
      <c r="F215" s="17">
        <v>0</v>
      </c>
      <c r="G215" s="17">
        <v>1</v>
      </c>
      <c r="H215" s="18">
        <v>0</v>
      </c>
      <c r="I215" s="18">
        <v>0</v>
      </c>
      <c r="J215" s="18">
        <v>0</v>
      </c>
      <c r="K215" s="19">
        <v>4</v>
      </c>
      <c r="L215" s="19">
        <v>1</v>
      </c>
      <c r="M215" s="19">
        <v>0</v>
      </c>
      <c r="N215" s="19">
        <v>1</v>
      </c>
      <c r="O215" s="19">
        <v>0</v>
      </c>
      <c r="P215" s="19">
        <v>14.812</v>
      </c>
      <c r="Q215" s="19">
        <v>0</v>
      </c>
      <c r="R215" s="19">
        <v>1</v>
      </c>
    </row>
    <row r="216" ht="16.5" spans="1:18">
      <c r="A216" s="17">
        <v>399060</v>
      </c>
      <c r="B216" s="17" t="s">
        <v>715</v>
      </c>
      <c r="C216" s="17">
        <v>2462.564</v>
      </c>
      <c r="D216" s="17">
        <v>2811.678</v>
      </c>
      <c r="E216" s="17">
        <v>0</v>
      </c>
      <c r="F216" s="17">
        <v>0</v>
      </c>
      <c r="G216" s="17">
        <v>1</v>
      </c>
      <c r="H216" s="18">
        <v>0</v>
      </c>
      <c r="I216" s="18">
        <v>0</v>
      </c>
      <c r="J216" s="18">
        <v>0</v>
      </c>
      <c r="K216" s="19">
        <v>2</v>
      </c>
      <c r="L216" s="19">
        <v>0</v>
      </c>
      <c r="M216" s="19">
        <v>0</v>
      </c>
      <c r="N216" s="19">
        <v>0</v>
      </c>
      <c r="O216" s="19">
        <v>0</v>
      </c>
      <c r="P216" s="19">
        <v>-18.527</v>
      </c>
      <c r="Q216" s="19">
        <v>0</v>
      </c>
      <c r="R216" s="19">
        <v>0</v>
      </c>
    </row>
    <row r="217" ht="16.5" spans="1:18">
      <c r="A217" s="17">
        <v>399088</v>
      </c>
      <c r="B217" s="17" t="s">
        <v>716</v>
      </c>
      <c r="C217" s="17">
        <v>3367.068</v>
      </c>
      <c r="D217" s="17">
        <v>3944.589</v>
      </c>
      <c r="E217" s="17">
        <v>0</v>
      </c>
      <c r="F217" s="17">
        <v>0</v>
      </c>
      <c r="G217" s="17">
        <v>1</v>
      </c>
      <c r="H217" s="18">
        <v>0</v>
      </c>
      <c r="I217" s="18">
        <v>0</v>
      </c>
      <c r="J217" s="18">
        <v>0</v>
      </c>
      <c r="K217" s="19">
        <v>4</v>
      </c>
      <c r="L217" s="19">
        <v>0</v>
      </c>
      <c r="M217" s="19">
        <v>0</v>
      </c>
      <c r="N217" s="19">
        <v>0</v>
      </c>
      <c r="O217" s="19">
        <v>0</v>
      </c>
      <c r="P217" s="19">
        <v>-14.893</v>
      </c>
      <c r="Q217" s="19">
        <v>0</v>
      </c>
      <c r="R217" s="19">
        <v>1</v>
      </c>
    </row>
    <row r="218" ht="16.5" spans="1:18">
      <c r="A218" s="17">
        <v>399100</v>
      </c>
      <c r="B218" s="17" t="s">
        <v>64</v>
      </c>
      <c r="C218" s="17">
        <v>8543.627</v>
      </c>
      <c r="D218" s="17">
        <v>10039.015</v>
      </c>
      <c r="E218" s="17">
        <v>0</v>
      </c>
      <c r="F218" s="17">
        <v>0</v>
      </c>
      <c r="G218" s="17">
        <v>1</v>
      </c>
      <c r="H218" s="18">
        <v>0</v>
      </c>
      <c r="I218" s="18">
        <v>0</v>
      </c>
      <c r="J218" s="18">
        <v>0</v>
      </c>
      <c r="K218" s="19">
        <v>2</v>
      </c>
      <c r="L218" s="19">
        <v>2</v>
      </c>
      <c r="M218" s="19">
        <v>1</v>
      </c>
      <c r="N218" s="19">
        <v>-1</v>
      </c>
      <c r="O218" s="19">
        <v>0</v>
      </c>
      <c r="P218" s="19">
        <v>-3.226</v>
      </c>
      <c r="Q218" s="19">
        <v>0</v>
      </c>
      <c r="R218" s="19">
        <v>0</v>
      </c>
    </row>
    <row r="219" ht="16.5" spans="1:18">
      <c r="A219" s="17">
        <v>399102</v>
      </c>
      <c r="B219" s="17" t="s">
        <v>100</v>
      </c>
      <c r="C219" s="17">
        <v>2537.672</v>
      </c>
      <c r="D219" s="17">
        <v>3117.13</v>
      </c>
      <c r="E219" s="17">
        <v>0</v>
      </c>
      <c r="F219" s="17">
        <v>0</v>
      </c>
      <c r="G219" s="17">
        <v>1</v>
      </c>
      <c r="H219" s="18">
        <v>0</v>
      </c>
      <c r="I219" s="18">
        <v>0</v>
      </c>
      <c r="J219" s="18">
        <v>0</v>
      </c>
      <c r="K219" s="19">
        <v>3</v>
      </c>
      <c r="L219" s="19">
        <v>0</v>
      </c>
      <c r="M219" s="19">
        <v>0</v>
      </c>
      <c r="N219" s="19">
        <v>0</v>
      </c>
      <c r="O219" s="19">
        <v>0</v>
      </c>
      <c r="P219" s="19">
        <v>-7.89</v>
      </c>
      <c r="Q219" s="19">
        <v>0</v>
      </c>
      <c r="R219" s="19">
        <v>0</v>
      </c>
    </row>
    <row r="220" ht="16.5" spans="1:18">
      <c r="A220" s="17">
        <v>399103</v>
      </c>
      <c r="B220" s="17" t="s">
        <v>717</v>
      </c>
      <c r="C220" s="17">
        <v>6832.291</v>
      </c>
      <c r="D220" s="17">
        <v>7683.659</v>
      </c>
      <c r="E220" s="17">
        <v>0</v>
      </c>
      <c r="F220" s="17">
        <v>0</v>
      </c>
      <c r="G220" s="17">
        <v>1</v>
      </c>
      <c r="H220" s="18">
        <v>0</v>
      </c>
      <c r="I220" s="18">
        <v>0</v>
      </c>
      <c r="J220" s="18">
        <v>0</v>
      </c>
      <c r="K220" s="19">
        <v>3</v>
      </c>
      <c r="L220" s="19">
        <v>0</v>
      </c>
      <c r="M220" s="19">
        <v>0</v>
      </c>
      <c r="N220" s="19">
        <v>1</v>
      </c>
      <c r="O220" s="19">
        <v>0</v>
      </c>
      <c r="P220" s="19">
        <v>2.128</v>
      </c>
      <c r="Q220" s="19">
        <v>0</v>
      </c>
      <c r="R220" s="19">
        <v>0</v>
      </c>
    </row>
    <row r="221" ht="16.5" spans="1:18">
      <c r="A221" s="17">
        <v>399106</v>
      </c>
      <c r="B221" s="17" t="s">
        <v>45</v>
      </c>
      <c r="C221" s="17">
        <v>1812.575</v>
      </c>
      <c r="D221" s="17">
        <v>2131.995</v>
      </c>
      <c r="E221" s="17">
        <v>0</v>
      </c>
      <c r="F221" s="17">
        <v>0</v>
      </c>
      <c r="G221" s="17">
        <v>1</v>
      </c>
      <c r="H221" s="18">
        <v>0</v>
      </c>
      <c r="I221" s="18">
        <v>0</v>
      </c>
      <c r="J221" s="18">
        <v>0</v>
      </c>
      <c r="K221" s="19">
        <v>3</v>
      </c>
      <c r="L221" s="19">
        <v>1</v>
      </c>
      <c r="M221" s="19">
        <v>0</v>
      </c>
      <c r="N221" s="19">
        <v>-1</v>
      </c>
      <c r="O221" s="19">
        <v>0</v>
      </c>
      <c r="P221" s="19">
        <v>-9.09</v>
      </c>
      <c r="Q221" s="19">
        <v>0</v>
      </c>
      <c r="R221" s="19">
        <v>0</v>
      </c>
    </row>
    <row r="222" ht="16.5" spans="1:18">
      <c r="A222" s="17">
        <v>399107</v>
      </c>
      <c r="B222" s="17" t="s">
        <v>60</v>
      </c>
      <c r="C222" s="17">
        <v>1895.823</v>
      </c>
      <c r="D222" s="17">
        <v>2230.22</v>
      </c>
      <c r="E222" s="17">
        <v>0</v>
      </c>
      <c r="F222" s="17">
        <v>0</v>
      </c>
      <c r="G222" s="17">
        <v>1</v>
      </c>
      <c r="H222" s="18">
        <v>0</v>
      </c>
      <c r="I222" s="18">
        <v>0</v>
      </c>
      <c r="J222" s="18">
        <v>0</v>
      </c>
      <c r="K222" s="19">
        <v>4</v>
      </c>
      <c r="L222" s="19">
        <v>0</v>
      </c>
      <c r="M222" s="19">
        <v>0</v>
      </c>
      <c r="N222" s="19">
        <v>0</v>
      </c>
      <c r="O222" s="19">
        <v>0</v>
      </c>
      <c r="P222" s="19">
        <v>-10.213</v>
      </c>
      <c r="Q222" s="19">
        <v>0</v>
      </c>
      <c r="R222" s="19">
        <v>1</v>
      </c>
    </row>
    <row r="223" ht="16.5" spans="1:18">
      <c r="A223" s="17">
        <v>399108</v>
      </c>
      <c r="B223" s="17" t="s">
        <v>440</v>
      </c>
      <c r="C223" s="17">
        <v>1166.776</v>
      </c>
      <c r="D223" s="17">
        <v>1268.442</v>
      </c>
      <c r="E223" s="17">
        <v>0</v>
      </c>
      <c r="F223" s="17">
        <v>0</v>
      </c>
      <c r="G223" s="17">
        <v>1</v>
      </c>
      <c r="H223" s="18">
        <v>0</v>
      </c>
      <c r="I223" s="18">
        <v>0</v>
      </c>
      <c r="J223" s="18">
        <v>0</v>
      </c>
      <c r="K223" s="19">
        <v>4</v>
      </c>
      <c r="L223" s="19">
        <v>0</v>
      </c>
      <c r="M223" s="19">
        <v>0</v>
      </c>
      <c r="N223" s="19">
        <v>1</v>
      </c>
      <c r="O223" s="19">
        <v>0</v>
      </c>
      <c r="P223" s="19">
        <v>-19.813</v>
      </c>
      <c r="Q223" s="19">
        <v>0</v>
      </c>
      <c r="R223" s="19">
        <v>0</v>
      </c>
    </row>
    <row r="224" ht="16.5" spans="1:18">
      <c r="A224" s="17">
        <v>399232</v>
      </c>
      <c r="B224" s="17" t="s">
        <v>718</v>
      </c>
      <c r="C224" s="17">
        <v>2406.05</v>
      </c>
      <c r="D224" s="17">
        <v>2761.829</v>
      </c>
      <c r="E224" s="17">
        <v>0</v>
      </c>
      <c r="F224" s="17">
        <v>0</v>
      </c>
      <c r="G224" s="17">
        <v>1</v>
      </c>
      <c r="H224" s="18">
        <v>0</v>
      </c>
      <c r="I224" s="18">
        <v>0</v>
      </c>
      <c r="J224" s="18">
        <v>0</v>
      </c>
      <c r="K224" s="19">
        <v>3</v>
      </c>
      <c r="L224" s="19">
        <v>0</v>
      </c>
      <c r="M224" s="19">
        <v>0</v>
      </c>
      <c r="N224" s="19">
        <v>1</v>
      </c>
      <c r="O224" s="19">
        <v>0</v>
      </c>
      <c r="P224" s="19">
        <v>0.005</v>
      </c>
      <c r="Q224" s="19">
        <v>0</v>
      </c>
      <c r="R224" s="19">
        <v>0</v>
      </c>
    </row>
    <row r="225" ht="16.5" spans="1:18">
      <c r="A225" s="17">
        <v>399233</v>
      </c>
      <c r="B225" s="17" t="s">
        <v>719</v>
      </c>
      <c r="C225" s="17">
        <v>2351.304</v>
      </c>
      <c r="D225" s="17">
        <v>2736.672</v>
      </c>
      <c r="E225" s="17">
        <v>0</v>
      </c>
      <c r="F225" s="17">
        <v>0</v>
      </c>
      <c r="G225" s="17">
        <v>1</v>
      </c>
      <c r="H225" s="18">
        <v>0</v>
      </c>
      <c r="I225" s="18">
        <v>0</v>
      </c>
      <c r="J225" s="18">
        <v>0</v>
      </c>
      <c r="K225" s="19">
        <v>4</v>
      </c>
      <c r="L225" s="19">
        <v>0</v>
      </c>
      <c r="M225" s="19">
        <v>0</v>
      </c>
      <c r="N225" s="19">
        <v>0</v>
      </c>
      <c r="O225" s="19">
        <v>0</v>
      </c>
      <c r="P225" s="19">
        <v>-8.373</v>
      </c>
      <c r="Q225" s="19">
        <v>0</v>
      </c>
      <c r="R225" s="19">
        <v>1</v>
      </c>
    </row>
    <row r="226" ht="16.5" spans="1:18">
      <c r="A226" s="17">
        <v>399235</v>
      </c>
      <c r="B226" s="17" t="s">
        <v>720</v>
      </c>
      <c r="C226" s="17">
        <v>845.9</v>
      </c>
      <c r="D226" s="17">
        <v>1074.817</v>
      </c>
      <c r="E226" s="17">
        <v>0</v>
      </c>
      <c r="F226" s="17">
        <v>0</v>
      </c>
      <c r="G226" s="17">
        <v>1</v>
      </c>
      <c r="H226" s="18">
        <v>0</v>
      </c>
      <c r="I226" s="18">
        <v>0</v>
      </c>
      <c r="J226" s="18">
        <v>0</v>
      </c>
      <c r="K226" s="19">
        <v>4</v>
      </c>
      <c r="L226" s="19">
        <v>0</v>
      </c>
      <c r="M226" s="19">
        <v>0</v>
      </c>
      <c r="N226" s="19">
        <v>0</v>
      </c>
      <c r="O226" s="19">
        <v>0</v>
      </c>
      <c r="P226" s="19">
        <v>-4.705</v>
      </c>
      <c r="Q226" s="19">
        <v>0</v>
      </c>
      <c r="R226" s="19">
        <v>1</v>
      </c>
    </row>
    <row r="227" ht="16.5" spans="1:18">
      <c r="A227" s="17">
        <v>399236</v>
      </c>
      <c r="B227" s="17" t="s">
        <v>721</v>
      </c>
      <c r="C227" s="17">
        <v>1180.922</v>
      </c>
      <c r="D227" s="17">
        <v>1457.95</v>
      </c>
      <c r="E227" s="17">
        <v>0</v>
      </c>
      <c r="F227" s="17">
        <v>0</v>
      </c>
      <c r="G227" s="17">
        <v>1</v>
      </c>
      <c r="H227" s="18">
        <v>0</v>
      </c>
      <c r="I227" s="18">
        <v>0</v>
      </c>
      <c r="J227" s="18">
        <v>0</v>
      </c>
      <c r="K227" s="19">
        <v>4</v>
      </c>
      <c r="L227" s="19">
        <v>0</v>
      </c>
      <c r="M227" s="19">
        <v>0</v>
      </c>
      <c r="N227" s="19">
        <v>0</v>
      </c>
      <c r="O227" s="19">
        <v>0</v>
      </c>
      <c r="P227" s="19">
        <v>-2.518</v>
      </c>
      <c r="Q227" s="19">
        <v>0</v>
      </c>
      <c r="R227" s="19">
        <v>1</v>
      </c>
    </row>
    <row r="228" ht="16.5" spans="1:18">
      <c r="A228" s="17">
        <v>399237</v>
      </c>
      <c r="B228" s="17" t="s">
        <v>722</v>
      </c>
      <c r="C228" s="17">
        <v>1036.761</v>
      </c>
      <c r="D228" s="17">
        <v>1151.938</v>
      </c>
      <c r="E228" s="17">
        <v>0</v>
      </c>
      <c r="F228" s="17">
        <v>0</v>
      </c>
      <c r="G228" s="17">
        <v>1</v>
      </c>
      <c r="H228" s="18">
        <v>0</v>
      </c>
      <c r="I228" s="18">
        <v>0</v>
      </c>
      <c r="J228" s="18">
        <v>0</v>
      </c>
      <c r="K228" s="19">
        <v>2</v>
      </c>
      <c r="L228" s="19">
        <v>0</v>
      </c>
      <c r="M228" s="19">
        <v>0</v>
      </c>
      <c r="N228" s="19">
        <v>1</v>
      </c>
      <c r="O228" s="19">
        <v>0</v>
      </c>
      <c r="P228" s="19">
        <v>-11.013</v>
      </c>
      <c r="Q228" s="19">
        <v>0</v>
      </c>
      <c r="R228" s="19">
        <v>0</v>
      </c>
    </row>
    <row r="229" ht="16.5" spans="1:18">
      <c r="A229" s="17">
        <v>399240</v>
      </c>
      <c r="B229" s="17" t="s">
        <v>723</v>
      </c>
      <c r="C229" s="17">
        <v>1335.822</v>
      </c>
      <c r="D229" s="17">
        <v>1632.169</v>
      </c>
      <c r="E229" s="17">
        <v>0</v>
      </c>
      <c r="F229" s="17">
        <v>0</v>
      </c>
      <c r="G229" s="17">
        <v>1</v>
      </c>
      <c r="H229" s="18">
        <v>0</v>
      </c>
      <c r="I229" s="18">
        <v>0</v>
      </c>
      <c r="J229" s="18">
        <v>0</v>
      </c>
      <c r="K229" s="19">
        <v>2</v>
      </c>
      <c r="L229" s="19">
        <v>0</v>
      </c>
      <c r="M229" s="19">
        <v>0</v>
      </c>
      <c r="N229" s="19">
        <v>-1</v>
      </c>
      <c r="O229" s="19">
        <v>0</v>
      </c>
      <c r="P229" s="19">
        <v>-8.246</v>
      </c>
      <c r="Q229" s="19">
        <v>0</v>
      </c>
      <c r="R229" s="19">
        <v>0</v>
      </c>
    </row>
    <row r="230" ht="16.5" spans="1:18">
      <c r="A230" s="17">
        <v>399241</v>
      </c>
      <c r="B230" s="17" t="s">
        <v>539</v>
      </c>
      <c r="C230" s="17">
        <v>1129.194</v>
      </c>
      <c r="D230" s="17">
        <v>1447.526</v>
      </c>
      <c r="E230" s="17">
        <v>0</v>
      </c>
      <c r="F230" s="17">
        <v>0</v>
      </c>
      <c r="G230" s="17">
        <v>1</v>
      </c>
      <c r="H230" s="18">
        <v>0</v>
      </c>
      <c r="I230" s="18">
        <v>0</v>
      </c>
      <c r="J230" s="18">
        <v>0</v>
      </c>
      <c r="K230" s="19">
        <v>2</v>
      </c>
      <c r="L230" s="19">
        <v>0</v>
      </c>
      <c r="M230" s="19">
        <v>0</v>
      </c>
      <c r="N230" s="19">
        <v>-1</v>
      </c>
      <c r="O230" s="19">
        <v>0</v>
      </c>
      <c r="P230" s="19">
        <v>-12.475</v>
      </c>
      <c r="Q230" s="19">
        <v>0</v>
      </c>
      <c r="R230" s="19">
        <v>0</v>
      </c>
    </row>
    <row r="231" ht="16.5" spans="1:18">
      <c r="A231" s="17">
        <v>399242</v>
      </c>
      <c r="B231" s="17" t="s">
        <v>724</v>
      </c>
      <c r="C231" s="17">
        <v>1065.741</v>
      </c>
      <c r="D231" s="17">
        <v>1390.187</v>
      </c>
      <c r="E231" s="17">
        <v>0</v>
      </c>
      <c r="F231" s="17">
        <v>0</v>
      </c>
      <c r="G231" s="17">
        <v>1</v>
      </c>
      <c r="H231" s="18">
        <v>0</v>
      </c>
      <c r="I231" s="18">
        <v>0</v>
      </c>
      <c r="J231" s="18">
        <v>0</v>
      </c>
      <c r="K231" s="19">
        <v>3</v>
      </c>
      <c r="L231" s="19">
        <v>2</v>
      </c>
      <c r="M231" s="19">
        <v>1</v>
      </c>
      <c r="N231" s="19">
        <v>-1</v>
      </c>
      <c r="O231" s="19">
        <v>0</v>
      </c>
      <c r="P231" s="19">
        <v>-19.034</v>
      </c>
      <c r="Q231" s="19">
        <v>0</v>
      </c>
      <c r="R231" s="19">
        <v>0</v>
      </c>
    </row>
    <row r="232" ht="16.5" spans="1:18">
      <c r="A232" s="17">
        <v>399243</v>
      </c>
      <c r="B232" s="17" t="s">
        <v>725</v>
      </c>
      <c r="C232" s="17">
        <v>1155.386</v>
      </c>
      <c r="D232" s="17">
        <v>1479.395</v>
      </c>
      <c r="E232" s="17">
        <v>0</v>
      </c>
      <c r="F232" s="17">
        <v>0</v>
      </c>
      <c r="G232" s="17">
        <v>1</v>
      </c>
      <c r="H232" s="18">
        <v>0</v>
      </c>
      <c r="I232" s="18">
        <v>0</v>
      </c>
      <c r="J232" s="18">
        <v>0</v>
      </c>
      <c r="K232" s="19">
        <v>4</v>
      </c>
      <c r="L232" s="19">
        <v>1</v>
      </c>
      <c r="M232" s="19">
        <v>0</v>
      </c>
      <c r="N232" s="19">
        <v>1</v>
      </c>
      <c r="O232" s="19">
        <v>0</v>
      </c>
      <c r="P232" s="19">
        <v>9.87</v>
      </c>
      <c r="Q232" s="19">
        <v>0</v>
      </c>
      <c r="R232" s="19">
        <v>0</v>
      </c>
    </row>
    <row r="233" ht="16.5" spans="1:18">
      <c r="A233" s="17">
        <v>399244</v>
      </c>
      <c r="B233" s="17" t="s">
        <v>726</v>
      </c>
      <c r="C233" s="17">
        <v>472.913</v>
      </c>
      <c r="D233" s="17">
        <v>599.569</v>
      </c>
      <c r="E233" s="17">
        <v>0</v>
      </c>
      <c r="F233" s="17">
        <v>0</v>
      </c>
      <c r="G233" s="17">
        <v>1</v>
      </c>
      <c r="H233" s="18">
        <v>0</v>
      </c>
      <c r="I233" s="18">
        <v>0</v>
      </c>
      <c r="J233" s="18">
        <v>0</v>
      </c>
      <c r="K233" s="19">
        <v>3</v>
      </c>
      <c r="L233" s="19">
        <v>0</v>
      </c>
      <c r="M233" s="19">
        <v>0</v>
      </c>
      <c r="N233" s="19">
        <v>0</v>
      </c>
      <c r="O233" s="19">
        <v>0</v>
      </c>
      <c r="P233" s="19">
        <v>-24.058</v>
      </c>
      <c r="Q233" s="19">
        <v>0</v>
      </c>
      <c r="R233" s="19">
        <v>0</v>
      </c>
    </row>
    <row r="234" ht="16.5" spans="1:18">
      <c r="A234" s="17">
        <v>399258</v>
      </c>
      <c r="B234" s="17" t="s">
        <v>727</v>
      </c>
      <c r="C234" s="17">
        <v>3076.835</v>
      </c>
      <c r="D234" s="17">
        <v>3490.832</v>
      </c>
      <c r="E234" s="17">
        <v>0</v>
      </c>
      <c r="F234" s="17">
        <v>0</v>
      </c>
      <c r="G234" s="17">
        <v>1</v>
      </c>
      <c r="H234" s="18">
        <v>0</v>
      </c>
      <c r="I234" s="18">
        <v>0</v>
      </c>
      <c r="J234" s="18">
        <v>0</v>
      </c>
      <c r="K234" s="19">
        <v>4</v>
      </c>
      <c r="L234" s="19">
        <v>0</v>
      </c>
      <c r="M234" s="19">
        <v>0</v>
      </c>
      <c r="N234" s="19">
        <v>0</v>
      </c>
      <c r="O234" s="19">
        <v>0</v>
      </c>
      <c r="P234" s="19">
        <v>-15.61</v>
      </c>
      <c r="Q234" s="19">
        <v>0</v>
      </c>
      <c r="R234" s="19">
        <v>1</v>
      </c>
    </row>
    <row r="235" ht="16.5" spans="1:18">
      <c r="A235" s="17">
        <v>399259</v>
      </c>
      <c r="B235" s="17" t="s">
        <v>728</v>
      </c>
      <c r="C235" s="17">
        <v>3110.919</v>
      </c>
      <c r="D235" s="17">
        <v>3809.072</v>
      </c>
      <c r="E235" s="17">
        <v>0</v>
      </c>
      <c r="F235" s="17">
        <v>0</v>
      </c>
      <c r="G235" s="17">
        <v>1</v>
      </c>
      <c r="H235" s="18">
        <v>0</v>
      </c>
      <c r="I235" s="18">
        <v>0</v>
      </c>
      <c r="J235" s="18">
        <v>0</v>
      </c>
      <c r="K235" s="19">
        <v>2</v>
      </c>
      <c r="L235" s="19">
        <v>2</v>
      </c>
      <c r="M235" s="19">
        <v>1</v>
      </c>
      <c r="N235" s="19">
        <v>-1</v>
      </c>
      <c r="O235" s="19">
        <v>0</v>
      </c>
      <c r="P235" s="19">
        <v>-9.966</v>
      </c>
      <c r="Q235" s="19">
        <v>0</v>
      </c>
      <c r="R235" s="19">
        <v>0</v>
      </c>
    </row>
    <row r="236" ht="16.5" spans="1:18">
      <c r="A236" s="17">
        <v>399260</v>
      </c>
      <c r="B236" s="17" t="s">
        <v>729</v>
      </c>
      <c r="C236" s="17">
        <v>2598.15</v>
      </c>
      <c r="D236" s="17">
        <v>2940.636</v>
      </c>
      <c r="E236" s="17">
        <v>0</v>
      </c>
      <c r="F236" s="17">
        <v>0</v>
      </c>
      <c r="G236" s="17">
        <v>1</v>
      </c>
      <c r="H236" s="18">
        <v>0</v>
      </c>
      <c r="I236" s="18">
        <v>0</v>
      </c>
      <c r="J236" s="18">
        <v>0</v>
      </c>
      <c r="K236" s="19">
        <v>3</v>
      </c>
      <c r="L236" s="19">
        <v>0</v>
      </c>
      <c r="M236" s="19">
        <v>0</v>
      </c>
      <c r="N236" s="19">
        <v>0</v>
      </c>
      <c r="O236" s="19">
        <v>0</v>
      </c>
      <c r="P236" s="19">
        <v>-19.92</v>
      </c>
      <c r="Q236" s="19">
        <v>0</v>
      </c>
      <c r="R236" s="19">
        <v>1</v>
      </c>
    </row>
    <row r="237" ht="16.5" spans="1:18">
      <c r="A237" s="17">
        <v>399261</v>
      </c>
      <c r="B237" s="17" t="s">
        <v>730</v>
      </c>
      <c r="C237" s="17">
        <v>3148.565</v>
      </c>
      <c r="D237" s="17">
        <v>3740.452</v>
      </c>
      <c r="E237" s="17">
        <v>0</v>
      </c>
      <c r="F237" s="17">
        <v>0</v>
      </c>
      <c r="G237" s="17">
        <v>1</v>
      </c>
      <c r="H237" s="18">
        <v>0</v>
      </c>
      <c r="I237" s="18">
        <v>0</v>
      </c>
      <c r="J237" s="18">
        <v>0</v>
      </c>
      <c r="K237" s="19">
        <v>3</v>
      </c>
      <c r="L237" s="19">
        <v>0</v>
      </c>
      <c r="M237" s="19">
        <v>0</v>
      </c>
      <c r="N237" s="19">
        <v>1</v>
      </c>
      <c r="O237" s="19">
        <v>0</v>
      </c>
      <c r="P237" s="19">
        <v>-3.127</v>
      </c>
      <c r="Q237" s="19">
        <v>0</v>
      </c>
      <c r="R237" s="19">
        <v>0</v>
      </c>
    </row>
    <row r="238" ht="16.5" spans="1:18">
      <c r="A238" s="17">
        <v>399262</v>
      </c>
      <c r="B238" s="17" t="s">
        <v>493</v>
      </c>
      <c r="C238" s="17">
        <v>1710.73</v>
      </c>
      <c r="D238" s="17">
        <v>2079.291</v>
      </c>
      <c r="E238" s="17">
        <v>0</v>
      </c>
      <c r="F238" s="17">
        <v>0</v>
      </c>
      <c r="G238" s="17">
        <v>1</v>
      </c>
      <c r="H238" s="18">
        <v>0</v>
      </c>
      <c r="I238" s="18">
        <v>0</v>
      </c>
      <c r="J238" s="18">
        <v>0</v>
      </c>
      <c r="K238" s="19">
        <v>1</v>
      </c>
      <c r="L238" s="19">
        <v>0</v>
      </c>
      <c r="M238" s="19">
        <v>0</v>
      </c>
      <c r="N238" s="19">
        <v>-1</v>
      </c>
      <c r="O238" s="19">
        <v>0</v>
      </c>
      <c r="P238" s="19">
        <v>-11.749</v>
      </c>
      <c r="Q238" s="19">
        <v>0</v>
      </c>
      <c r="R238" s="19">
        <v>0</v>
      </c>
    </row>
    <row r="239" ht="16.5" spans="1:18">
      <c r="A239" s="17">
        <v>399263</v>
      </c>
      <c r="B239" s="17" t="s">
        <v>731</v>
      </c>
      <c r="C239" s="17">
        <v>1753.39</v>
      </c>
      <c r="D239" s="17">
        <v>2219.378</v>
      </c>
      <c r="E239" s="17">
        <v>0</v>
      </c>
      <c r="F239" s="17">
        <v>0</v>
      </c>
      <c r="G239" s="17">
        <v>1</v>
      </c>
      <c r="H239" s="18">
        <v>0</v>
      </c>
      <c r="I239" s="18">
        <v>0</v>
      </c>
      <c r="J239" s="18">
        <v>0</v>
      </c>
      <c r="K239" s="19">
        <v>3</v>
      </c>
      <c r="L239" s="19">
        <v>1</v>
      </c>
      <c r="M239" s="19">
        <v>0</v>
      </c>
      <c r="N239" s="19">
        <v>0</v>
      </c>
      <c r="O239" s="19">
        <v>0</v>
      </c>
      <c r="P239" s="19">
        <v>-14.712</v>
      </c>
      <c r="Q239" s="19">
        <v>0</v>
      </c>
      <c r="R239" s="19">
        <v>0</v>
      </c>
    </row>
    <row r="240" ht="16.5" spans="1:18">
      <c r="A240" s="17">
        <v>399264</v>
      </c>
      <c r="B240" s="17" t="s">
        <v>732</v>
      </c>
      <c r="C240" s="17">
        <v>1201.069</v>
      </c>
      <c r="D240" s="17">
        <v>1618.285</v>
      </c>
      <c r="E240" s="17">
        <v>0</v>
      </c>
      <c r="F240" s="17">
        <v>0</v>
      </c>
      <c r="G240" s="17">
        <v>1</v>
      </c>
      <c r="H240" s="18">
        <v>0</v>
      </c>
      <c r="I240" s="18">
        <v>0</v>
      </c>
      <c r="J240" s="18">
        <v>0</v>
      </c>
      <c r="K240" s="19">
        <v>1</v>
      </c>
      <c r="L240" s="19">
        <v>0</v>
      </c>
      <c r="M240" s="19">
        <v>0</v>
      </c>
      <c r="N240" s="19">
        <v>-1</v>
      </c>
      <c r="O240" s="19">
        <v>0</v>
      </c>
      <c r="P240" s="19">
        <v>-7.417</v>
      </c>
      <c r="Q240" s="19">
        <v>0</v>
      </c>
      <c r="R240" s="19">
        <v>0</v>
      </c>
    </row>
    <row r="241" ht="16.5" spans="1:18">
      <c r="A241" s="17">
        <v>399265</v>
      </c>
      <c r="B241" s="17" t="s">
        <v>733</v>
      </c>
      <c r="C241" s="17">
        <v>873.514</v>
      </c>
      <c r="D241" s="17">
        <v>1082.02</v>
      </c>
      <c r="E241" s="17">
        <v>0</v>
      </c>
      <c r="F241" s="17">
        <v>0</v>
      </c>
      <c r="G241" s="17">
        <v>1</v>
      </c>
      <c r="H241" s="18">
        <v>0</v>
      </c>
      <c r="I241" s="18">
        <v>0</v>
      </c>
      <c r="J241" s="18">
        <v>0</v>
      </c>
      <c r="K241" s="19">
        <v>2</v>
      </c>
      <c r="L241" s="19">
        <v>1</v>
      </c>
      <c r="M241" s="19">
        <v>0</v>
      </c>
      <c r="N241" s="19">
        <v>1</v>
      </c>
      <c r="O241" s="19">
        <v>0</v>
      </c>
      <c r="P241" s="19">
        <v>-3.463</v>
      </c>
      <c r="Q241" s="19">
        <v>0</v>
      </c>
      <c r="R241" s="19">
        <v>0</v>
      </c>
    </row>
    <row r="242" ht="16.5" spans="1:18">
      <c r="A242" s="17">
        <v>399266</v>
      </c>
      <c r="B242" s="17" t="s">
        <v>734</v>
      </c>
      <c r="C242" s="17">
        <v>2145.673</v>
      </c>
      <c r="D242" s="17">
        <v>2635.205</v>
      </c>
      <c r="E242" s="17">
        <v>0</v>
      </c>
      <c r="F242" s="17">
        <v>0</v>
      </c>
      <c r="G242" s="17">
        <v>1</v>
      </c>
      <c r="H242" s="18">
        <v>0</v>
      </c>
      <c r="I242" s="18">
        <v>0</v>
      </c>
      <c r="J242" s="18">
        <v>0</v>
      </c>
      <c r="K242" s="19">
        <v>2</v>
      </c>
      <c r="L242" s="19">
        <v>1</v>
      </c>
      <c r="M242" s="19">
        <v>0</v>
      </c>
      <c r="N242" s="19">
        <v>0</v>
      </c>
      <c r="O242" s="19">
        <v>0</v>
      </c>
      <c r="P242" s="19">
        <v>-9.794</v>
      </c>
      <c r="Q242" s="19">
        <v>0</v>
      </c>
      <c r="R242" s="19">
        <v>1</v>
      </c>
    </row>
    <row r="243" ht="16.5" spans="1:18">
      <c r="A243" s="17">
        <v>399269</v>
      </c>
      <c r="B243" s="17" t="s">
        <v>735</v>
      </c>
      <c r="C243" s="17">
        <v>3947.758</v>
      </c>
      <c r="D243" s="17">
        <v>4715.642</v>
      </c>
      <c r="E243" s="17">
        <v>0</v>
      </c>
      <c r="F243" s="17">
        <v>0</v>
      </c>
      <c r="G243" s="17">
        <v>1</v>
      </c>
      <c r="H243" s="18">
        <v>0</v>
      </c>
      <c r="I243" s="18">
        <v>0</v>
      </c>
      <c r="J243" s="18">
        <v>0</v>
      </c>
      <c r="K243" s="19">
        <v>3</v>
      </c>
      <c r="L243" s="19">
        <v>0</v>
      </c>
      <c r="M243" s="19">
        <v>0</v>
      </c>
      <c r="N243" s="19">
        <v>1</v>
      </c>
      <c r="O243" s="19">
        <v>0</v>
      </c>
      <c r="P243" s="19">
        <v>-4.272</v>
      </c>
      <c r="Q243" s="19">
        <v>0</v>
      </c>
      <c r="R243" s="19">
        <v>0</v>
      </c>
    </row>
    <row r="244" ht="16.5" spans="1:18">
      <c r="A244" s="17">
        <v>399274</v>
      </c>
      <c r="B244" s="17" t="s">
        <v>736</v>
      </c>
      <c r="C244" s="17">
        <v>3592.688</v>
      </c>
      <c r="D244" s="17">
        <v>4283.555</v>
      </c>
      <c r="E244" s="17">
        <v>0</v>
      </c>
      <c r="F244" s="17">
        <v>0</v>
      </c>
      <c r="G244" s="17">
        <v>1</v>
      </c>
      <c r="H244" s="18">
        <v>0</v>
      </c>
      <c r="I244" s="18">
        <v>0</v>
      </c>
      <c r="J244" s="18">
        <v>0</v>
      </c>
      <c r="K244" s="19">
        <v>4</v>
      </c>
      <c r="L244" s="19">
        <v>2</v>
      </c>
      <c r="M244" s="19">
        <v>0</v>
      </c>
      <c r="N244" s="19">
        <v>0</v>
      </c>
      <c r="O244" s="19">
        <v>0</v>
      </c>
      <c r="P244" s="19">
        <v>-6.088</v>
      </c>
      <c r="Q244" s="19">
        <v>0</v>
      </c>
      <c r="R244" s="19">
        <v>1</v>
      </c>
    </row>
    <row r="245" ht="16.5" spans="1:18">
      <c r="A245" s="17">
        <v>399275</v>
      </c>
      <c r="B245" s="17" t="s">
        <v>737</v>
      </c>
      <c r="C245" s="17">
        <v>2308.281</v>
      </c>
      <c r="D245" s="17">
        <v>2877.239</v>
      </c>
      <c r="E245" s="17">
        <v>0</v>
      </c>
      <c r="F245" s="17">
        <v>0</v>
      </c>
      <c r="G245" s="17">
        <v>1</v>
      </c>
      <c r="H245" s="18">
        <v>0</v>
      </c>
      <c r="I245" s="18">
        <v>0</v>
      </c>
      <c r="J245" s="18">
        <v>0</v>
      </c>
      <c r="K245" s="19">
        <v>4</v>
      </c>
      <c r="L245" s="19">
        <v>0</v>
      </c>
      <c r="M245" s="19">
        <v>0</v>
      </c>
      <c r="N245" s="19">
        <v>0</v>
      </c>
      <c r="O245" s="19">
        <v>0</v>
      </c>
      <c r="P245" s="19">
        <v>-11.002</v>
      </c>
      <c r="Q245" s="19">
        <v>0</v>
      </c>
      <c r="R245" s="19">
        <v>1</v>
      </c>
    </row>
    <row r="246" ht="16.5" spans="1:18">
      <c r="A246" s="17">
        <v>399276</v>
      </c>
      <c r="B246" s="17" t="s">
        <v>738</v>
      </c>
      <c r="C246" s="17">
        <v>4492.29</v>
      </c>
      <c r="D246" s="17">
        <v>5513.116</v>
      </c>
      <c r="E246" s="17">
        <v>0</v>
      </c>
      <c r="F246" s="17">
        <v>0</v>
      </c>
      <c r="G246" s="17">
        <v>1</v>
      </c>
      <c r="H246" s="18">
        <v>0</v>
      </c>
      <c r="I246" s="18">
        <v>0</v>
      </c>
      <c r="J246" s="18">
        <v>0</v>
      </c>
      <c r="K246" s="19">
        <v>1</v>
      </c>
      <c r="L246" s="19">
        <v>0</v>
      </c>
      <c r="M246" s="19">
        <v>0</v>
      </c>
      <c r="N246" s="19">
        <v>-1</v>
      </c>
      <c r="O246" s="19">
        <v>0</v>
      </c>
      <c r="P246" s="19">
        <v>-7.686</v>
      </c>
      <c r="Q246" s="19">
        <v>0</v>
      </c>
      <c r="R246" s="19">
        <v>0</v>
      </c>
    </row>
    <row r="247" ht="16.5" spans="1:18">
      <c r="A247" s="17">
        <v>399278</v>
      </c>
      <c r="B247" s="17" t="s">
        <v>739</v>
      </c>
      <c r="C247" s="17">
        <v>1480.451</v>
      </c>
      <c r="D247" s="17">
        <v>1730.71</v>
      </c>
      <c r="E247" s="17">
        <v>0</v>
      </c>
      <c r="F247" s="17">
        <v>0</v>
      </c>
      <c r="G247" s="17">
        <v>1</v>
      </c>
      <c r="H247" s="18">
        <v>0</v>
      </c>
      <c r="I247" s="18">
        <v>0</v>
      </c>
      <c r="J247" s="18">
        <v>0</v>
      </c>
      <c r="K247" s="19">
        <v>1</v>
      </c>
      <c r="L247" s="19">
        <v>0</v>
      </c>
      <c r="M247" s="19">
        <v>0</v>
      </c>
      <c r="N247" s="19">
        <v>1</v>
      </c>
      <c r="O247" s="19">
        <v>0</v>
      </c>
      <c r="P247" s="19">
        <v>0.768</v>
      </c>
      <c r="Q247" s="19">
        <v>0</v>
      </c>
      <c r="R247" s="19">
        <v>0</v>
      </c>
    </row>
    <row r="248" ht="16.5" spans="1:18">
      <c r="A248" s="17">
        <v>399279</v>
      </c>
      <c r="B248" s="17" t="s">
        <v>740</v>
      </c>
      <c r="C248" s="17">
        <v>2834.563</v>
      </c>
      <c r="D248" s="17">
        <v>3533.016</v>
      </c>
      <c r="E248" s="17">
        <v>0</v>
      </c>
      <c r="F248" s="17">
        <v>0</v>
      </c>
      <c r="G248" s="17">
        <v>1</v>
      </c>
      <c r="H248" s="18">
        <v>0</v>
      </c>
      <c r="I248" s="18">
        <v>0</v>
      </c>
      <c r="J248" s="18">
        <v>0</v>
      </c>
      <c r="K248" s="19">
        <v>2</v>
      </c>
      <c r="L248" s="19">
        <v>1</v>
      </c>
      <c r="M248" s="19">
        <v>1</v>
      </c>
      <c r="N248" s="19">
        <v>-1</v>
      </c>
      <c r="O248" s="19">
        <v>0</v>
      </c>
      <c r="P248" s="19">
        <v>-24.397</v>
      </c>
      <c r="Q248" s="19">
        <v>0</v>
      </c>
      <c r="R248" s="19">
        <v>0</v>
      </c>
    </row>
    <row r="249" ht="16.5" spans="1:18">
      <c r="A249" s="17">
        <v>399280</v>
      </c>
      <c r="B249" s="17" t="s">
        <v>741</v>
      </c>
      <c r="C249" s="17">
        <v>1851.493</v>
      </c>
      <c r="D249" s="17">
        <v>2239.383</v>
      </c>
      <c r="E249" s="17">
        <v>0</v>
      </c>
      <c r="F249" s="17">
        <v>0</v>
      </c>
      <c r="G249" s="17">
        <v>1</v>
      </c>
      <c r="H249" s="18">
        <v>0</v>
      </c>
      <c r="I249" s="18">
        <v>0</v>
      </c>
      <c r="J249" s="18">
        <v>0</v>
      </c>
      <c r="K249" s="19">
        <v>4</v>
      </c>
      <c r="L249" s="19">
        <v>0</v>
      </c>
      <c r="M249" s="19">
        <v>0</v>
      </c>
      <c r="N249" s="19">
        <v>0</v>
      </c>
      <c r="O249" s="19">
        <v>0</v>
      </c>
      <c r="P249" s="19">
        <v>-12.313</v>
      </c>
      <c r="Q249" s="19">
        <v>0</v>
      </c>
      <c r="R249" s="19">
        <v>1</v>
      </c>
    </row>
    <row r="250" ht="16.5" spans="1:18">
      <c r="A250" s="17">
        <v>399281</v>
      </c>
      <c r="B250" s="17" t="s">
        <v>742</v>
      </c>
      <c r="C250" s="17">
        <v>3042.508</v>
      </c>
      <c r="D250" s="17">
        <v>3691.099</v>
      </c>
      <c r="E250" s="17">
        <v>0</v>
      </c>
      <c r="F250" s="17">
        <v>0</v>
      </c>
      <c r="G250" s="17">
        <v>1</v>
      </c>
      <c r="H250" s="18">
        <v>0</v>
      </c>
      <c r="I250" s="18">
        <v>0</v>
      </c>
      <c r="J250" s="18">
        <v>0</v>
      </c>
      <c r="K250" s="19">
        <v>3</v>
      </c>
      <c r="L250" s="19">
        <v>0</v>
      </c>
      <c r="M250" s="19">
        <v>0</v>
      </c>
      <c r="N250" s="19">
        <v>0</v>
      </c>
      <c r="O250" s="19">
        <v>0</v>
      </c>
      <c r="P250" s="19">
        <v>-29.616</v>
      </c>
      <c r="Q250" s="19">
        <v>0</v>
      </c>
      <c r="R250" s="19">
        <v>0</v>
      </c>
    </row>
    <row r="251" ht="16.5" spans="1:18">
      <c r="A251" s="17">
        <v>399285</v>
      </c>
      <c r="B251" s="17" t="s">
        <v>743</v>
      </c>
      <c r="C251" s="17">
        <v>3701.712</v>
      </c>
      <c r="D251" s="17">
        <v>4483.651</v>
      </c>
      <c r="E251" s="17">
        <v>0</v>
      </c>
      <c r="F251" s="17">
        <v>0</v>
      </c>
      <c r="G251" s="17">
        <v>1</v>
      </c>
      <c r="H251" s="18">
        <v>0</v>
      </c>
      <c r="I251" s="18">
        <v>0</v>
      </c>
      <c r="J251" s="18">
        <v>0</v>
      </c>
      <c r="K251" s="19">
        <v>4</v>
      </c>
      <c r="L251" s="19">
        <v>0</v>
      </c>
      <c r="M251" s="19">
        <v>0</v>
      </c>
      <c r="N251" s="19">
        <v>0</v>
      </c>
      <c r="O251" s="19">
        <v>0</v>
      </c>
      <c r="P251" s="19">
        <v>-16.309</v>
      </c>
      <c r="Q251" s="19">
        <v>0</v>
      </c>
      <c r="R251" s="19">
        <v>1</v>
      </c>
    </row>
    <row r="252" ht="16.5" spans="1:18">
      <c r="A252" s="17">
        <v>399286</v>
      </c>
      <c r="B252" s="17" t="s">
        <v>744</v>
      </c>
      <c r="C252" s="17">
        <v>3236.624</v>
      </c>
      <c r="D252" s="17">
        <v>3973.491</v>
      </c>
      <c r="E252" s="17">
        <v>0</v>
      </c>
      <c r="F252" s="17">
        <v>0</v>
      </c>
      <c r="G252" s="17">
        <v>1</v>
      </c>
      <c r="H252" s="18">
        <v>0</v>
      </c>
      <c r="I252" s="18">
        <v>0</v>
      </c>
      <c r="J252" s="18">
        <v>0</v>
      </c>
      <c r="K252" s="19">
        <v>3</v>
      </c>
      <c r="L252" s="19">
        <v>0</v>
      </c>
      <c r="M252" s="19">
        <v>0</v>
      </c>
      <c r="N252" s="19">
        <v>0</v>
      </c>
      <c r="O252" s="19">
        <v>0</v>
      </c>
      <c r="P252" s="19">
        <v>-9.149</v>
      </c>
      <c r="Q252" s="19">
        <v>0</v>
      </c>
      <c r="R252" s="19">
        <v>0</v>
      </c>
    </row>
    <row r="253" ht="16.5" spans="1:18">
      <c r="A253" s="17">
        <v>399291</v>
      </c>
      <c r="B253" s="17" t="s">
        <v>745</v>
      </c>
      <c r="C253" s="17">
        <v>3177.539</v>
      </c>
      <c r="D253" s="17">
        <v>4095.554</v>
      </c>
      <c r="E253" s="17">
        <v>0</v>
      </c>
      <c r="F253" s="17">
        <v>0</v>
      </c>
      <c r="G253" s="17">
        <v>1</v>
      </c>
      <c r="H253" s="18">
        <v>0</v>
      </c>
      <c r="I253" s="18">
        <v>0</v>
      </c>
      <c r="J253" s="18">
        <v>0</v>
      </c>
      <c r="K253" s="19">
        <v>4</v>
      </c>
      <c r="L253" s="19">
        <v>0</v>
      </c>
      <c r="M253" s="19">
        <v>0</v>
      </c>
      <c r="N253" s="19">
        <v>0</v>
      </c>
      <c r="O253" s="19">
        <v>0</v>
      </c>
      <c r="P253" s="19">
        <v>-3.546</v>
      </c>
      <c r="Q253" s="19">
        <v>0</v>
      </c>
      <c r="R253" s="19">
        <v>1</v>
      </c>
    </row>
    <row r="254" ht="16.5" spans="1:18">
      <c r="A254" s="17">
        <v>399292</v>
      </c>
      <c r="B254" s="17" t="s">
        <v>746</v>
      </c>
      <c r="C254" s="17">
        <v>956.443</v>
      </c>
      <c r="D254" s="17">
        <v>1177.618</v>
      </c>
      <c r="E254" s="17">
        <v>0</v>
      </c>
      <c r="F254" s="17">
        <v>0</v>
      </c>
      <c r="G254" s="17">
        <v>1</v>
      </c>
      <c r="H254" s="18">
        <v>0</v>
      </c>
      <c r="I254" s="18">
        <v>0</v>
      </c>
      <c r="J254" s="18">
        <v>0</v>
      </c>
      <c r="K254" s="19">
        <v>3</v>
      </c>
      <c r="L254" s="19">
        <v>0</v>
      </c>
      <c r="M254" s="19">
        <v>0</v>
      </c>
      <c r="N254" s="19">
        <v>0</v>
      </c>
      <c r="O254" s="19">
        <v>0</v>
      </c>
      <c r="P254" s="19">
        <v>-5.605</v>
      </c>
      <c r="Q254" s="19">
        <v>0</v>
      </c>
      <c r="R254" s="19">
        <v>0</v>
      </c>
    </row>
    <row r="255" ht="16.5" spans="1:18">
      <c r="A255" s="17">
        <v>399293</v>
      </c>
      <c r="B255" s="17" t="s">
        <v>747</v>
      </c>
      <c r="C255" s="17">
        <v>3706.46</v>
      </c>
      <c r="D255" s="17">
        <v>4465.172</v>
      </c>
      <c r="E255" s="17">
        <v>0</v>
      </c>
      <c r="F255" s="17">
        <v>0</v>
      </c>
      <c r="G255" s="17">
        <v>1</v>
      </c>
      <c r="H255" s="18">
        <v>0</v>
      </c>
      <c r="I255" s="18">
        <v>0</v>
      </c>
      <c r="J255" s="18">
        <v>0</v>
      </c>
      <c r="K255" s="19">
        <v>4</v>
      </c>
      <c r="L255" s="19">
        <v>0</v>
      </c>
      <c r="M255" s="19">
        <v>0</v>
      </c>
      <c r="N255" s="19">
        <v>0</v>
      </c>
      <c r="O255" s="19">
        <v>0</v>
      </c>
      <c r="P255" s="19">
        <v>-17.249</v>
      </c>
      <c r="Q255" s="19">
        <v>0</v>
      </c>
      <c r="R255" s="19">
        <v>1</v>
      </c>
    </row>
    <row r="256" ht="16.5" spans="1:18">
      <c r="A256" s="17">
        <v>399294</v>
      </c>
      <c r="B256" s="17" t="s">
        <v>748</v>
      </c>
      <c r="C256" s="17">
        <v>2585.629</v>
      </c>
      <c r="D256" s="17">
        <v>2913.86</v>
      </c>
      <c r="E256" s="17">
        <v>0</v>
      </c>
      <c r="F256" s="17">
        <v>0</v>
      </c>
      <c r="G256" s="17">
        <v>1</v>
      </c>
      <c r="H256" s="18">
        <v>0</v>
      </c>
      <c r="I256" s="18">
        <v>0</v>
      </c>
      <c r="J256" s="18">
        <v>0</v>
      </c>
      <c r="K256" s="19">
        <v>2</v>
      </c>
      <c r="L256" s="19">
        <v>0</v>
      </c>
      <c r="M256" s="19">
        <v>0</v>
      </c>
      <c r="N256" s="19">
        <v>-1</v>
      </c>
      <c r="O256" s="19">
        <v>0</v>
      </c>
      <c r="P256" s="19">
        <v>-6.553</v>
      </c>
      <c r="Q256" s="19">
        <v>0</v>
      </c>
      <c r="R256" s="19">
        <v>0</v>
      </c>
    </row>
    <row r="257" ht="16.5" spans="1:18">
      <c r="A257" s="17">
        <v>399295</v>
      </c>
      <c r="B257" s="17" t="s">
        <v>749</v>
      </c>
      <c r="C257" s="17">
        <v>4196.466</v>
      </c>
      <c r="D257" s="17">
        <v>4986.631</v>
      </c>
      <c r="E257" s="17">
        <v>0</v>
      </c>
      <c r="F257" s="17">
        <v>0</v>
      </c>
      <c r="G257" s="17">
        <v>1</v>
      </c>
      <c r="H257" s="18">
        <v>0</v>
      </c>
      <c r="I257" s="18">
        <v>0</v>
      </c>
      <c r="J257" s="18">
        <v>0</v>
      </c>
      <c r="K257" s="19">
        <v>4</v>
      </c>
      <c r="L257" s="19">
        <v>0</v>
      </c>
      <c r="M257" s="19">
        <v>0</v>
      </c>
      <c r="N257" s="19">
        <v>1</v>
      </c>
      <c r="O257" s="19">
        <v>0</v>
      </c>
      <c r="P257" s="19">
        <v>-40.205</v>
      </c>
      <c r="Q257" s="19">
        <v>0</v>
      </c>
      <c r="R257" s="19">
        <v>0</v>
      </c>
    </row>
    <row r="258" ht="16.5" spans="1:18">
      <c r="A258" s="17">
        <v>399296</v>
      </c>
      <c r="B258" s="17" t="s">
        <v>750</v>
      </c>
      <c r="C258" s="17">
        <v>4105.685</v>
      </c>
      <c r="D258" s="17">
        <v>4840.691</v>
      </c>
      <c r="E258" s="17">
        <v>0</v>
      </c>
      <c r="F258" s="17">
        <v>0</v>
      </c>
      <c r="G258" s="17">
        <v>1</v>
      </c>
      <c r="H258" s="18">
        <v>0</v>
      </c>
      <c r="I258" s="18">
        <v>0</v>
      </c>
      <c r="J258" s="18">
        <v>0</v>
      </c>
      <c r="K258" s="19">
        <v>2</v>
      </c>
      <c r="L258" s="19">
        <v>0</v>
      </c>
      <c r="M258" s="19">
        <v>0</v>
      </c>
      <c r="N258" s="19">
        <v>0</v>
      </c>
      <c r="O258" s="19">
        <v>0</v>
      </c>
      <c r="P258" s="19">
        <v>-16.162</v>
      </c>
      <c r="Q258" s="19">
        <v>0</v>
      </c>
      <c r="R258" s="19">
        <v>0</v>
      </c>
    </row>
    <row r="259" ht="16.5" spans="1:18">
      <c r="A259" s="17">
        <v>399300</v>
      </c>
      <c r="B259" s="17" t="s">
        <v>23</v>
      </c>
      <c r="C259" s="17">
        <v>3701.145</v>
      </c>
      <c r="D259" s="17">
        <v>4092.082</v>
      </c>
      <c r="E259" s="17">
        <v>0</v>
      </c>
      <c r="F259" s="17">
        <v>0</v>
      </c>
      <c r="G259" s="17">
        <v>1</v>
      </c>
      <c r="H259" s="18">
        <v>0</v>
      </c>
      <c r="I259" s="18">
        <v>0</v>
      </c>
      <c r="J259" s="18">
        <v>0</v>
      </c>
      <c r="K259" s="19">
        <v>4</v>
      </c>
      <c r="L259" s="19">
        <v>0</v>
      </c>
      <c r="M259" s="19">
        <v>0</v>
      </c>
      <c r="N259" s="19">
        <v>0</v>
      </c>
      <c r="O259" s="19">
        <v>0</v>
      </c>
      <c r="P259" s="19">
        <v>-4.879</v>
      </c>
      <c r="Q259" s="19">
        <v>0</v>
      </c>
      <c r="R259" s="19">
        <v>1</v>
      </c>
    </row>
    <row r="260" ht="16.5" spans="1:18">
      <c r="A260" s="17">
        <v>399306</v>
      </c>
      <c r="B260" s="17" t="s">
        <v>492</v>
      </c>
      <c r="C260" s="17">
        <v>1363.605</v>
      </c>
      <c r="D260" s="17">
        <v>1540.281</v>
      </c>
      <c r="E260" s="17">
        <v>0</v>
      </c>
      <c r="F260" s="17">
        <v>0</v>
      </c>
      <c r="G260" s="17">
        <v>1</v>
      </c>
      <c r="H260" s="18">
        <v>0</v>
      </c>
      <c r="I260" s="18">
        <v>0</v>
      </c>
      <c r="J260" s="18">
        <v>0</v>
      </c>
      <c r="K260" s="19">
        <v>4</v>
      </c>
      <c r="L260" s="19">
        <v>0</v>
      </c>
      <c r="M260" s="19">
        <v>0</v>
      </c>
      <c r="N260" s="19">
        <v>0</v>
      </c>
      <c r="O260" s="19">
        <v>0</v>
      </c>
      <c r="P260" s="19">
        <v>-33.914</v>
      </c>
      <c r="Q260" s="19">
        <v>0</v>
      </c>
      <c r="R260" s="19">
        <v>1</v>
      </c>
    </row>
    <row r="261" ht="16.5" spans="1:18">
      <c r="A261" s="17">
        <v>399310</v>
      </c>
      <c r="B261" s="17" t="s">
        <v>751</v>
      </c>
      <c r="C261" s="17">
        <v>6050.468</v>
      </c>
      <c r="D261" s="17">
        <v>6739.229</v>
      </c>
      <c r="E261" s="17">
        <v>0</v>
      </c>
      <c r="F261" s="17">
        <v>0</v>
      </c>
      <c r="G261" s="17">
        <v>1</v>
      </c>
      <c r="H261" s="18">
        <v>0</v>
      </c>
      <c r="I261" s="18">
        <v>0</v>
      </c>
      <c r="J261" s="18">
        <v>0</v>
      </c>
      <c r="K261" s="19">
        <v>3</v>
      </c>
      <c r="L261" s="19">
        <v>0</v>
      </c>
      <c r="M261" s="19">
        <v>0</v>
      </c>
      <c r="N261" s="19">
        <v>0</v>
      </c>
      <c r="O261" s="19">
        <v>0</v>
      </c>
      <c r="P261" s="19">
        <v>-10.035</v>
      </c>
      <c r="Q261" s="19">
        <v>0</v>
      </c>
      <c r="R261" s="19">
        <v>0</v>
      </c>
    </row>
    <row r="262" ht="16.5" spans="1:18">
      <c r="A262" s="17">
        <v>399311</v>
      </c>
      <c r="B262" s="17" t="s">
        <v>752</v>
      </c>
      <c r="C262" s="17">
        <v>3827.971</v>
      </c>
      <c r="D262" s="17">
        <v>4301.096</v>
      </c>
      <c r="E262" s="17">
        <v>0</v>
      </c>
      <c r="F262" s="17">
        <v>0</v>
      </c>
      <c r="G262" s="17">
        <v>1</v>
      </c>
      <c r="H262" s="18">
        <v>0</v>
      </c>
      <c r="I262" s="18">
        <v>0</v>
      </c>
      <c r="J262" s="18">
        <v>0</v>
      </c>
      <c r="K262" s="19">
        <v>3</v>
      </c>
      <c r="L262" s="19">
        <v>0</v>
      </c>
      <c r="M262" s="19">
        <v>0</v>
      </c>
      <c r="N262" s="19">
        <v>0</v>
      </c>
      <c r="O262" s="19">
        <v>0</v>
      </c>
      <c r="P262" s="19">
        <v>-19.091</v>
      </c>
      <c r="Q262" s="19">
        <v>0</v>
      </c>
      <c r="R262" s="19">
        <v>0</v>
      </c>
    </row>
    <row r="263" ht="16.5" spans="1:18">
      <c r="A263" s="17">
        <v>399312</v>
      </c>
      <c r="B263" s="17" t="s">
        <v>753</v>
      </c>
      <c r="C263" s="17">
        <v>4204.823</v>
      </c>
      <c r="D263" s="17">
        <v>4674.192</v>
      </c>
      <c r="E263" s="17">
        <v>0</v>
      </c>
      <c r="F263" s="17">
        <v>0</v>
      </c>
      <c r="G263" s="17">
        <v>1</v>
      </c>
      <c r="H263" s="18">
        <v>0</v>
      </c>
      <c r="I263" s="18">
        <v>0</v>
      </c>
      <c r="J263" s="18">
        <v>0</v>
      </c>
      <c r="K263" s="19">
        <v>2</v>
      </c>
      <c r="L263" s="19">
        <v>0</v>
      </c>
      <c r="M263" s="19">
        <v>0</v>
      </c>
      <c r="N263" s="19">
        <v>1</v>
      </c>
      <c r="O263" s="19">
        <v>0</v>
      </c>
      <c r="P263" s="19">
        <v>-9.832</v>
      </c>
      <c r="Q263" s="19">
        <v>0</v>
      </c>
      <c r="R263" s="19">
        <v>1</v>
      </c>
    </row>
    <row r="264" ht="16.5" spans="1:18">
      <c r="A264" s="17">
        <v>399313</v>
      </c>
      <c r="B264" s="17" t="s">
        <v>754</v>
      </c>
      <c r="C264" s="17">
        <v>4442.806</v>
      </c>
      <c r="D264" s="17">
        <v>4904.203</v>
      </c>
      <c r="E264" s="17">
        <v>0</v>
      </c>
      <c r="F264" s="17">
        <v>0</v>
      </c>
      <c r="G264" s="17">
        <v>1</v>
      </c>
      <c r="H264" s="18">
        <v>0</v>
      </c>
      <c r="I264" s="18">
        <v>0</v>
      </c>
      <c r="J264" s="18">
        <v>0</v>
      </c>
      <c r="K264" s="19">
        <v>2</v>
      </c>
      <c r="L264" s="19">
        <v>0</v>
      </c>
      <c r="M264" s="19">
        <v>1</v>
      </c>
      <c r="N264" s="19">
        <v>-1</v>
      </c>
      <c r="O264" s="19">
        <v>0</v>
      </c>
      <c r="P264" s="19">
        <v>-10.75</v>
      </c>
      <c r="Q264" s="19">
        <v>0</v>
      </c>
      <c r="R264" s="19">
        <v>0</v>
      </c>
    </row>
    <row r="265" ht="16.5" spans="1:18">
      <c r="A265" s="17">
        <v>399314</v>
      </c>
      <c r="B265" s="17" t="s">
        <v>755</v>
      </c>
      <c r="C265" s="17">
        <v>4112.336</v>
      </c>
      <c r="D265" s="17">
        <v>4527.282</v>
      </c>
      <c r="E265" s="17">
        <v>0</v>
      </c>
      <c r="F265" s="17">
        <v>0</v>
      </c>
      <c r="G265" s="17">
        <v>1</v>
      </c>
      <c r="H265" s="18">
        <v>0</v>
      </c>
      <c r="I265" s="18">
        <v>0</v>
      </c>
      <c r="J265" s="18">
        <v>0</v>
      </c>
      <c r="K265" s="19">
        <v>3</v>
      </c>
      <c r="L265" s="19">
        <v>0</v>
      </c>
      <c r="M265" s="19">
        <v>0</v>
      </c>
      <c r="N265" s="19">
        <v>-1</v>
      </c>
      <c r="O265" s="19">
        <v>0</v>
      </c>
      <c r="P265" s="19">
        <v>-15.295</v>
      </c>
      <c r="Q265" s="19">
        <v>0</v>
      </c>
      <c r="R265" s="19">
        <v>0</v>
      </c>
    </row>
    <row r="266" ht="16.5" spans="1:18">
      <c r="A266" s="17">
        <v>399315</v>
      </c>
      <c r="B266" s="17" t="s">
        <v>756</v>
      </c>
      <c r="C266" s="17">
        <v>3509.248</v>
      </c>
      <c r="D266" s="17">
        <v>4009.003</v>
      </c>
      <c r="E266" s="17">
        <v>0</v>
      </c>
      <c r="F266" s="17">
        <v>0</v>
      </c>
      <c r="G266" s="17">
        <v>1</v>
      </c>
      <c r="H266" s="18">
        <v>0</v>
      </c>
      <c r="I266" s="18">
        <v>0</v>
      </c>
      <c r="J266" s="18">
        <v>0</v>
      </c>
      <c r="K266" s="19">
        <v>3</v>
      </c>
      <c r="L266" s="19">
        <v>2</v>
      </c>
      <c r="M266" s="19">
        <v>1</v>
      </c>
      <c r="N266" s="19">
        <v>-1</v>
      </c>
      <c r="O266" s="19">
        <v>0</v>
      </c>
      <c r="P266" s="19">
        <v>-17.988</v>
      </c>
      <c r="Q266" s="19">
        <v>0</v>
      </c>
      <c r="R266" s="19">
        <v>0</v>
      </c>
    </row>
    <row r="267" ht="16.5" spans="1:18">
      <c r="A267" s="17">
        <v>399317</v>
      </c>
      <c r="B267" s="17" t="s">
        <v>757</v>
      </c>
      <c r="C267" s="17">
        <v>5014.732</v>
      </c>
      <c r="D267" s="17">
        <v>5770.111</v>
      </c>
      <c r="E267" s="17">
        <v>0</v>
      </c>
      <c r="F267" s="17">
        <v>0</v>
      </c>
      <c r="G267" s="17">
        <v>1</v>
      </c>
      <c r="H267" s="18">
        <v>0</v>
      </c>
      <c r="I267" s="18">
        <v>0</v>
      </c>
      <c r="J267" s="18">
        <v>0</v>
      </c>
      <c r="K267" s="19">
        <v>4</v>
      </c>
      <c r="L267" s="19">
        <v>1</v>
      </c>
      <c r="M267" s="19">
        <v>0</v>
      </c>
      <c r="N267" s="19">
        <v>1</v>
      </c>
      <c r="O267" s="19">
        <v>0</v>
      </c>
      <c r="P267" s="19">
        <v>6.409</v>
      </c>
      <c r="Q267" s="19">
        <v>0</v>
      </c>
      <c r="R267" s="19">
        <v>1</v>
      </c>
    </row>
    <row r="268" ht="16.5" spans="1:18">
      <c r="A268" s="17">
        <v>399318</v>
      </c>
      <c r="B268" s="17" t="s">
        <v>758</v>
      </c>
      <c r="C268" s="17">
        <v>4851.849</v>
      </c>
      <c r="D268" s="17">
        <v>5323.369</v>
      </c>
      <c r="E268" s="17">
        <v>0</v>
      </c>
      <c r="F268" s="17">
        <v>0</v>
      </c>
      <c r="G268" s="17">
        <v>1</v>
      </c>
      <c r="H268" s="18">
        <v>0</v>
      </c>
      <c r="I268" s="18">
        <v>0</v>
      </c>
      <c r="J268" s="18">
        <v>0</v>
      </c>
      <c r="K268" s="19">
        <v>3</v>
      </c>
      <c r="L268" s="19">
        <v>0</v>
      </c>
      <c r="M268" s="19">
        <v>0</v>
      </c>
      <c r="N268" s="19">
        <v>1</v>
      </c>
      <c r="O268" s="19">
        <v>0</v>
      </c>
      <c r="P268" s="19">
        <v>-27.646</v>
      </c>
      <c r="Q268" s="19">
        <v>0</v>
      </c>
      <c r="R268" s="19">
        <v>0</v>
      </c>
    </row>
    <row r="269" ht="16.5" spans="1:18">
      <c r="A269" s="17">
        <v>399319</v>
      </c>
      <c r="B269" s="17" t="s">
        <v>759</v>
      </c>
      <c r="C269" s="17">
        <v>2232.733</v>
      </c>
      <c r="D269" s="17">
        <v>2436.533</v>
      </c>
      <c r="E269" s="17">
        <v>0</v>
      </c>
      <c r="F269" s="17">
        <v>0</v>
      </c>
      <c r="G269" s="17">
        <v>1</v>
      </c>
      <c r="H269" s="18">
        <v>0</v>
      </c>
      <c r="I269" s="18">
        <v>0</v>
      </c>
      <c r="J269" s="18">
        <v>0</v>
      </c>
      <c r="K269" s="19">
        <v>4</v>
      </c>
      <c r="L269" s="19">
        <v>0</v>
      </c>
      <c r="M269" s="19">
        <v>0</v>
      </c>
      <c r="N269" s="19">
        <v>0</v>
      </c>
      <c r="O269" s="19">
        <v>0</v>
      </c>
      <c r="P269" s="19">
        <v>-15.742</v>
      </c>
      <c r="Q269" s="19">
        <v>0</v>
      </c>
      <c r="R269" s="19">
        <v>1</v>
      </c>
    </row>
    <row r="270" ht="16.5" spans="1:18">
      <c r="A270" s="17">
        <v>399321</v>
      </c>
      <c r="B270" s="17" t="s">
        <v>760</v>
      </c>
      <c r="C270" s="17">
        <v>7010.268</v>
      </c>
      <c r="D270" s="17">
        <v>7567.529</v>
      </c>
      <c r="E270" s="17">
        <v>0</v>
      </c>
      <c r="F270" s="17">
        <v>0</v>
      </c>
      <c r="G270" s="17">
        <v>1</v>
      </c>
      <c r="H270" s="18">
        <v>0</v>
      </c>
      <c r="I270" s="18">
        <v>0</v>
      </c>
      <c r="J270" s="18">
        <v>0</v>
      </c>
      <c r="K270" s="19">
        <v>2</v>
      </c>
      <c r="L270" s="19">
        <v>2</v>
      </c>
      <c r="M270" s="19">
        <v>1</v>
      </c>
      <c r="N270" s="19">
        <v>-1</v>
      </c>
      <c r="O270" s="19">
        <v>0</v>
      </c>
      <c r="P270" s="19">
        <v>-15.192</v>
      </c>
      <c r="Q270" s="19">
        <v>0</v>
      </c>
      <c r="R270" s="19">
        <v>0</v>
      </c>
    </row>
    <row r="271" ht="16.5" spans="1:18">
      <c r="A271" s="17">
        <v>399322</v>
      </c>
      <c r="B271" s="17" t="s">
        <v>490</v>
      </c>
      <c r="C271" s="17">
        <v>8449.924</v>
      </c>
      <c r="D271" s="17">
        <v>9258.048</v>
      </c>
      <c r="E271" s="17">
        <v>0</v>
      </c>
      <c r="F271" s="17">
        <v>0</v>
      </c>
      <c r="G271" s="17">
        <v>1</v>
      </c>
      <c r="H271" s="18">
        <v>0</v>
      </c>
      <c r="I271" s="18">
        <v>0</v>
      </c>
      <c r="J271" s="18">
        <v>0</v>
      </c>
      <c r="K271" s="19">
        <v>3</v>
      </c>
      <c r="L271" s="19">
        <v>0</v>
      </c>
      <c r="M271" s="19">
        <v>0</v>
      </c>
      <c r="N271" s="19">
        <v>0</v>
      </c>
      <c r="O271" s="19">
        <v>0</v>
      </c>
      <c r="P271" s="19">
        <v>-25.969</v>
      </c>
      <c r="Q271" s="19">
        <v>0</v>
      </c>
      <c r="R271" s="19">
        <v>0</v>
      </c>
    </row>
    <row r="272" ht="16.5" spans="1:18">
      <c r="A272" s="17">
        <v>399324</v>
      </c>
      <c r="B272" s="17" t="s">
        <v>489</v>
      </c>
      <c r="C272" s="17">
        <v>8247.135</v>
      </c>
      <c r="D272" s="17">
        <v>9100.028</v>
      </c>
      <c r="E272" s="17">
        <v>0</v>
      </c>
      <c r="F272" s="17">
        <v>0</v>
      </c>
      <c r="G272" s="17">
        <v>1</v>
      </c>
      <c r="H272" s="18">
        <v>0</v>
      </c>
      <c r="I272" s="18">
        <v>0</v>
      </c>
      <c r="J272" s="18">
        <v>0</v>
      </c>
      <c r="K272" s="19">
        <v>3</v>
      </c>
      <c r="L272" s="19">
        <v>0</v>
      </c>
      <c r="M272" s="19">
        <v>0</v>
      </c>
      <c r="N272" s="19">
        <v>1</v>
      </c>
      <c r="O272" s="19">
        <v>0</v>
      </c>
      <c r="P272" s="19">
        <v>-4.185</v>
      </c>
      <c r="Q272" s="19">
        <v>0</v>
      </c>
      <c r="R272" s="19">
        <v>0</v>
      </c>
    </row>
    <row r="273" ht="16.5" spans="1:18">
      <c r="A273" s="17">
        <v>399326</v>
      </c>
      <c r="B273" s="17" t="s">
        <v>761</v>
      </c>
      <c r="C273" s="17">
        <v>3664.696</v>
      </c>
      <c r="D273" s="17">
        <v>4384.004</v>
      </c>
      <c r="E273" s="17">
        <v>0</v>
      </c>
      <c r="F273" s="17">
        <v>0</v>
      </c>
      <c r="G273" s="17">
        <v>1</v>
      </c>
      <c r="H273" s="18">
        <v>0</v>
      </c>
      <c r="I273" s="18">
        <v>0</v>
      </c>
      <c r="J273" s="18">
        <v>0</v>
      </c>
      <c r="K273" s="19">
        <v>2</v>
      </c>
      <c r="L273" s="19">
        <v>2</v>
      </c>
      <c r="M273" s="19">
        <v>1</v>
      </c>
      <c r="N273" s="19">
        <v>-1</v>
      </c>
      <c r="O273" s="19">
        <v>0</v>
      </c>
      <c r="P273" s="19">
        <v>-6.945</v>
      </c>
      <c r="Q273" s="19">
        <v>0</v>
      </c>
      <c r="R273" s="19">
        <v>0</v>
      </c>
    </row>
    <row r="274" ht="16.5" spans="1:18">
      <c r="A274" s="17">
        <v>399328</v>
      </c>
      <c r="B274" s="17" t="s">
        <v>762</v>
      </c>
      <c r="C274" s="17">
        <v>8778.715</v>
      </c>
      <c r="D274" s="17">
        <v>9681.692</v>
      </c>
      <c r="E274" s="17">
        <v>0</v>
      </c>
      <c r="F274" s="17">
        <v>0</v>
      </c>
      <c r="G274" s="17">
        <v>1</v>
      </c>
      <c r="H274" s="18">
        <v>0</v>
      </c>
      <c r="I274" s="18">
        <v>0</v>
      </c>
      <c r="J274" s="18">
        <v>0</v>
      </c>
      <c r="K274" s="19">
        <v>3</v>
      </c>
      <c r="L274" s="19">
        <v>0</v>
      </c>
      <c r="M274" s="19">
        <v>1</v>
      </c>
      <c r="N274" s="19">
        <v>-1</v>
      </c>
      <c r="O274" s="19">
        <v>0</v>
      </c>
      <c r="P274" s="19">
        <v>-43.074</v>
      </c>
      <c r="Q274" s="19">
        <v>-1</v>
      </c>
      <c r="R274" s="19">
        <v>0</v>
      </c>
    </row>
    <row r="275" ht="16.5" spans="1:18">
      <c r="A275" s="17">
        <v>399330</v>
      </c>
      <c r="B275" s="17" t="s">
        <v>763</v>
      </c>
      <c r="C275" s="17">
        <v>4354.113</v>
      </c>
      <c r="D275" s="17">
        <v>4960.483</v>
      </c>
      <c r="E275" s="17">
        <v>0</v>
      </c>
      <c r="F275" s="17">
        <v>0</v>
      </c>
      <c r="G275" s="17">
        <v>1</v>
      </c>
      <c r="H275" s="18">
        <v>0</v>
      </c>
      <c r="I275" s="18">
        <v>0</v>
      </c>
      <c r="J275" s="18">
        <v>0</v>
      </c>
      <c r="K275" s="19">
        <v>3</v>
      </c>
      <c r="L275" s="19">
        <v>0</v>
      </c>
      <c r="M275" s="19">
        <v>1</v>
      </c>
      <c r="N275" s="19">
        <v>-1</v>
      </c>
      <c r="O275" s="19">
        <v>0</v>
      </c>
      <c r="P275" s="19">
        <v>-56.825</v>
      </c>
      <c r="Q275" s="19">
        <v>-1</v>
      </c>
      <c r="R275" s="19">
        <v>0</v>
      </c>
    </row>
    <row r="276" ht="16.5" spans="1:18">
      <c r="A276" s="17">
        <v>399333</v>
      </c>
      <c r="B276" s="17" t="s">
        <v>764</v>
      </c>
      <c r="C276" s="17">
        <v>7174.299</v>
      </c>
      <c r="D276" s="17">
        <v>8312.72</v>
      </c>
      <c r="E276" s="17">
        <v>0</v>
      </c>
      <c r="F276" s="17">
        <v>0</v>
      </c>
      <c r="G276" s="17">
        <v>1</v>
      </c>
      <c r="H276" s="18">
        <v>0</v>
      </c>
      <c r="I276" s="18">
        <v>0</v>
      </c>
      <c r="J276" s="18">
        <v>0</v>
      </c>
      <c r="K276" s="19">
        <v>2</v>
      </c>
      <c r="L276" s="19">
        <v>0</v>
      </c>
      <c r="M276" s="19">
        <v>0</v>
      </c>
      <c r="N276" s="19">
        <v>-1</v>
      </c>
      <c r="O276" s="19">
        <v>0</v>
      </c>
      <c r="P276" s="19">
        <v>-46.54</v>
      </c>
      <c r="Q276" s="19">
        <v>0</v>
      </c>
      <c r="R276" s="19">
        <v>0</v>
      </c>
    </row>
    <row r="277" ht="16.5" spans="1:18">
      <c r="A277" s="17">
        <v>399335</v>
      </c>
      <c r="B277" s="17" t="s">
        <v>765</v>
      </c>
      <c r="C277" s="17">
        <v>3546.709</v>
      </c>
      <c r="D277" s="17">
        <v>4085.203</v>
      </c>
      <c r="E277" s="17">
        <v>0</v>
      </c>
      <c r="F277" s="17">
        <v>0</v>
      </c>
      <c r="G277" s="17">
        <v>1</v>
      </c>
      <c r="H277" s="18">
        <v>0</v>
      </c>
      <c r="I277" s="18">
        <v>0</v>
      </c>
      <c r="J277" s="18">
        <v>0</v>
      </c>
      <c r="K277" s="19">
        <v>3</v>
      </c>
      <c r="L277" s="19">
        <v>1</v>
      </c>
      <c r="M277" s="19">
        <v>1</v>
      </c>
      <c r="N277" s="19">
        <v>-1</v>
      </c>
      <c r="O277" s="19">
        <v>0</v>
      </c>
      <c r="P277" s="19">
        <v>-22.9</v>
      </c>
      <c r="Q277" s="19">
        <v>0</v>
      </c>
      <c r="R277" s="19">
        <v>0</v>
      </c>
    </row>
    <row r="278" ht="16.5" spans="1:18">
      <c r="A278" s="17">
        <v>399337</v>
      </c>
      <c r="B278" s="17" t="s">
        <v>766</v>
      </c>
      <c r="C278" s="17">
        <v>4273.788</v>
      </c>
      <c r="D278" s="17">
        <v>4919.9</v>
      </c>
      <c r="E278" s="17">
        <v>0</v>
      </c>
      <c r="F278" s="17">
        <v>0</v>
      </c>
      <c r="G278" s="17">
        <v>1</v>
      </c>
      <c r="H278" s="18">
        <v>0</v>
      </c>
      <c r="I278" s="18">
        <v>0</v>
      </c>
      <c r="J278" s="18">
        <v>0</v>
      </c>
      <c r="K278" s="19">
        <v>3</v>
      </c>
      <c r="L278" s="19">
        <v>2</v>
      </c>
      <c r="M278" s="19">
        <v>1</v>
      </c>
      <c r="N278" s="19">
        <v>-1</v>
      </c>
      <c r="O278" s="19">
        <v>0</v>
      </c>
      <c r="P278" s="19">
        <v>-18.844</v>
      </c>
      <c r="Q278" s="19">
        <v>-1</v>
      </c>
      <c r="R278" s="19">
        <v>0</v>
      </c>
    </row>
    <row r="279" ht="16.5" spans="1:18">
      <c r="A279" s="17">
        <v>399339</v>
      </c>
      <c r="B279" s="17" t="s">
        <v>767</v>
      </c>
      <c r="C279" s="17">
        <v>6395.088</v>
      </c>
      <c r="D279" s="17">
        <v>7583.654</v>
      </c>
      <c r="E279" s="17">
        <v>0</v>
      </c>
      <c r="F279" s="17">
        <v>0</v>
      </c>
      <c r="G279" s="17">
        <v>1</v>
      </c>
      <c r="H279" s="18">
        <v>0</v>
      </c>
      <c r="I279" s="18">
        <v>0</v>
      </c>
      <c r="J279" s="18">
        <v>0</v>
      </c>
      <c r="K279" s="19">
        <v>3</v>
      </c>
      <c r="L279" s="19">
        <v>0</v>
      </c>
      <c r="M279" s="19">
        <v>1</v>
      </c>
      <c r="N279" s="19">
        <v>-1</v>
      </c>
      <c r="O279" s="19">
        <v>0</v>
      </c>
      <c r="P279" s="19">
        <v>-14.182</v>
      </c>
      <c r="Q279" s="19">
        <v>0</v>
      </c>
      <c r="R279" s="19">
        <v>0</v>
      </c>
    </row>
    <row r="280" ht="16.5" spans="1:18">
      <c r="A280" s="17">
        <v>399341</v>
      </c>
      <c r="B280" s="17" t="s">
        <v>768</v>
      </c>
      <c r="C280" s="17">
        <v>1413.518</v>
      </c>
      <c r="D280" s="17">
        <v>1594.232</v>
      </c>
      <c r="E280" s="17">
        <v>0</v>
      </c>
      <c r="F280" s="17">
        <v>0</v>
      </c>
      <c r="G280" s="17">
        <v>1</v>
      </c>
      <c r="H280" s="18">
        <v>0</v>
      </c>
      <c r="I280" s="18">
        <v>0</v>
      </c>
      <c r="J280" s="18">
        <v>0</v>
      </c>
      <c r="K280" s="19">
        <v>3</v>
      </c>
      <c r="L280" s="19">
        <v>0</v>
      </c>
      <c r="M280" s="19">
        <v>1</v>
      </c>
      <c r="N280" s="19">
        <v>-1</v>
      </c>
      <c r="O280" s="19">
        <v>0</v>
      </c>
      <c r="P280" s="19">
        <v>-16.806</v>
      </c>
      <c r="Q280" s="19">
        <v>-1</v>
      </c>
      <c r="R280" s="19">
        <v>0</v>
      </c>
    </row>
    <row r="281" ht="16.5" spans="1:18">
      <c r="A281" s="17">
        <v>399344</v>
      </c>
      <c r="B281" s="17" t="s">
        <v>769</v>
      </c>
      <c r="C281" s="17">
        <v>5291.635</v>
      </c>
      <c r="D281" s="17">
        <v>6081.354</v>
      </c>
      <c r="E281" s="17">
        <v>0</v>
      </c>
      <c r="F281" s="17">
        <v>0</v>
      </c>
      <c r="G281" s="17">
        <v>1</v>
      </c>
      <c r="H281" s="18">
        <v>0</v>
      </c>
      <c r="I281" s="18">
        <v>0</v>
      </c>
      <c r="J281" s="18">
        <v>0</v>
      </c>
      <c r="K281" s="19">
        <v>3</v>
      </c>
      <c r="L281" s="19">
        <v>0</v>
      </c>
      <c r="M281" s="19">
        <v>1</v>
      </c>
      <c r="N281" s="19">
        <v>-1</v>
      </c>
      <c r="O281" s="19">
        <v>0</v>
      </c>
      <c r="P281" s="19">
        <v>-3.671</v>
      </c>
      <c r="Q281" s="19">
        <v>-1</v>
      </c>
      <c r="R281" s="19">
        <v>0</v>
      </c>
    </row>
    <row r="282" ht="16.5" spans="1:18">
      <c r="A282" s="17">
        <v>399346</v>
      </c>
      <c r="B282" s="17" t="s">
        <v>488</v>
      </c>
      <c r="C282" s="17">
        <v>2828.618</v>
      </c>
      <c r="D282" s="17">
        <v>3312.578</v>
      </c>
      <c r="E282" s="17">
        <v>0</v>
      </c>
      <c r="F282" s="17">
        <v>0</v>
      </c>
      <c r="G282" s="17">
        <v>1</v>
      </c>
      <c r="H282" s="18">
        <v>0</v>
      </c>
      <c r="I282" s="18">
        <v>0</v>
      </c>
      <c r="J282" s="18">
        <v>0</v>
      </c>
      <c r="K282" s="19">
        <v>3</v>
      </c>
      <c r="L282" s="19">
        <v>0</v>
      </c>
      <c r="M282" s="19">
        <v>0</v>
      </c>
      <c r="N282" s="19">
        <v>0</v>
      </c>
      <c r="O282" s="19">
        <v>0</v>
      </c>
      <c r="P282" s="19">
        <v>-16.888</v>
      </c>
      <c r="Q282" s="19">
        <v>0</v>
      </c>
      <c r="R282" s="19">
        <v>0</v>
      </c>
    </row>
    <row r="283" ht="16.5" spans="1:18">
      <c r="A283" s="17">
        <v>399348</v>
      </c>
      <c r="B283" s="17" t="s">
        <v>487</v>
      </c>
      <c r="C283" s="17">
        <v>5702.828</v>
      </c>
      <c r="D283" s="17">
        <v>6254.653</v>
      </c>
      <c r="E283" s="17">
        <v>0</v>
      </c>
      <c r="F283" s="17">
        <v>0</v>
      </c>
      <c r="G283" s="17">
        <v>1</v>
      </c>
      <c r="H283" s="18">
        <v>0</v>
      </c>
      <c r="I283" s="18">
        <v>0</v>
      </c>
      <c r="J283" s="18">
        <v>0</v>
      </c>
      <c r="K283" s="19">
        <v>3</v>
      </c>
      <c r="L283" s="19">
        <v>0</v>
      </c>
      <c r="M283" s="19">
        <v>0</v>
      </c>
      <c r="N283" s="19">
        <v>0</v>
      </c>
      <c r="O283" s="19">
        <v>0</v>
      </c>
      <c r="P283" s="19">
        <v>-45.271</v>
      </c>
      <c r="Q283" s="19">
        <v>0</v>
      </c>
      <c r="R283" s="19">
        <v>0</v>
      </c>
    </row>
    <row r="284" ht="16.5" spans="1:18">
      <c r="A284" s="17">
        <v>399350</v>
      </c>
      <c r="B284" s="17" t="s">
        <v>770</v>
      </c>
      <c r="C284" s="17">
        <v>1997.277</v>
      </c>
      <c r="D284" s="17">
        <v>2360.526</v>
      </c>
      <c r="E284" s="17">
        <v>0</v>
      </c>
      <c r="F284" s="17">
        <v>0</v>
      </c>
      <c r="G284" s="17">
        <v>1</v>
      </c>
      <c r="H284" s="18">
        <v>0</v>
      </c>
      <c r="I284" s="18">
        <v>0</v>
      </c>
      <c r="J284" s="18">
        <v>0</v>
      </c>
      <c r="K284" s="19">
        <v>3</v>
      </c>
      <c r="L284" s="19">
        <v>0</v>
      </c>
      <c r="M284" s="19">
        <v>0</v>
      </c>
      <c r="N284" s="19">
        <v>-1</v>
      </c>
      <c r="O284" s="19">
        <v>0</v>
      </c>
      <c r="P284" s="19">
        <v>-23.687</v>
      </c>
      <c r="Q284" s="19">
        <v>0</v>
      </c>
      <c r="R284" s="19">
        <v>0</v>
      </c>
    </row>
    <row r="285" ht="16.5" spans="1:18">
      <c r="A285" s="17">
        <v>399351</v>
      </c>
      <c r="B285" s="17" t="s">
        <v>771</v>
      </c>
      <c r="C285" s="17">
        <v>8291.283</v>
      </c>
      <c r="D285" s="17">
        <v>9657.615</v>
      </c>
      <c r="E285" s="17">
        <v>0</v>
      </c>
      <c r="F285" s="17">
        <v>0</v>
      </c>
      <c r="G285" s="17">
        <v>1</v>
      </c>
      <c r="H285" s="18">
        <v>0</v>
      </c>
      <c r="I285" s="18">
        <v>0</v>
      </c>
      <c r="J285" s="18">
        <v>0</v>
      </c>
      <c r="K285" s="19">
        <v>3</v>
      </c>
      <c r="L285" s="19">
        <v>0</v>
      </c>
      <c r="M285" s="19">
        <v>1</v>
      </c>
      <c r="N285" s="19">
        <v>-1</v>
      </c>
      <c r="O285" s="19">
        <v>0</v>
      </c>
      <c r="P285" s="19">
        <v>-24.803</v>
      </c>
      <c r="Q285" s="19">
        <v>0</v>
      </c>
      <c r="R285" s="19">
        <v>0</v>
      </c>
    </row>
    <row r="286" ht="16.5" spans="1:18">
      <c r="A286" s="17">
        <v>399352</v>
      </c>
      <c r="B286" s="17" t="s">
        <v>772</v>
      </c>
      <c r="C286" s="17">
        <v>8222.582</v>
      </c>
      <c r="D286" s="17">
        <v>9609.498</v>
      </c>
      <c r="E286" s="17">
        <v>0</v>
      </c>
      <c r="F286" s="17">
        <v>0</v>
      </c>
      <c r="G286" s="17">
        <v>1</v>
      </c>
      <c r="H286" s="18">
        <v>0</v>
      </c>
      <c r="I286" s="18">
        <v>0</v>
      </c>
      <c r="J286" s="18">
        <v>0</v>
      </c>
      <c r="K286" s="19">
        <v>3</v>
      </c>
      <c r="L286" s="19">
        <v>0</v>
      </c>
      <c r="M286" s="19">
        <v>0</v>
      </c>
      <c r="N286" s="19">
        <v>0</v>
      </c>
      <c r="O286" s="19">
        <v>0</v>
      </c>
      <c r="P286" s="19">
        <v>-11.834</v>
      </c>
      <c r="Q286" s="19">
        <v>0</v>
      </c>
      <c r="R286" s="19">
        <v>0</v>
      </c>
    </row>
    <row r="287" ht="16.5" spans="1:18">
      <c r="A287" s="17">
        <v>399353</v>
      </c>
      <c r="B287" s="17" t="s">
        <v>773</v>
      </c>
      <c r="C287" s="17">
        <v>2054.728</v>
      </c>
      <c r="D287" s="17">
        <v>2259.735</v>
      </c>
      <c r="E287" s="17">
        <v>0</v>
      </c>
      <c r="F287" s="17">
        <v>0</v>
      </c>
      <c r="G287" s="17">
        <v>1</v>
      </c>
      <c r="H287" s="18">
        <v>0</v>
      </c>
      <c r="I287" s="18">
        <v>0</v>
      </c>
      <c r="J287" s="18">
        <v>0</v>
      </c>
      <c r="K287" s="19">
        <v>3</v>
      </c>
      <c r="L287" s="19">
        <v>0</v>
      </c>
      <c r="M287" s="19">
        <v>0</v>
      </c>
      <c r="N287" s="19">
        <v>0</v>
      </c>
      <c r="O287" s="19">
        <v>0</v>
      </c>
      <c r="P287" s="19">
        <v>-16.562</v>
      </c>
      <c r="Q287" s="19">
        <v>0</v>
      </c>
      <c r="R287" s="19">
        <v>0</v>
      </c>
    </row>
    <row r="288" ht="16.5" spans="1:18">
      <c r="A288" s="17">
        <v>399354</v>
      </c>
      <c r="B288" s="17" t="s">
        <v>774</v>
      </c>
      <c r="C288" s="17">
        <v>6885.565</v>
      </c>
      <c r="D288" s="17">
        <v>7558.397</v>
      </c>
      <c r="E288" s="17">
        <v>0</v>
      </c>
      <c r="F288" s="17">
        <v>0</v>
      </c>
      <c r="G288" s="17">
        <v>1</v>
      </c>
      <c r="H288" s="18">
        <v>0</v>
      </c>
      <c r="I288" s="18">
        <v>0</v>
      </c>
      <c r="J288" s="18">
        <v>0</v>
      </c>
      <c r="K288" s="19">
        <v>3</v>
      </c>
      <c r="L288" s="19">
        <v>1</v>
      </c>
      <c r="M288" s="19">
        <v>0</v>
      </c>
      <c r="N288" s="19">
        <v>0</v>
      </c>
      <c r="O288" s="19">
        <v>0</v>
      </c>
      <c r="P288" s="19">
        <v>-23.02</v>
      </c>
      <c r="Q288" s="19">
        <v>0</v>
      </c>
      <c r="R288" s="19">
        <v>0</v>
      </c>
    </row>
    <row r="289" ht="16.5" spans="1:18">
      <c r="A289" s="17">
        <v>399355</v>
      </c>
      <c r="B289" s="17" t="s">
        <v>775</v>
      </c>
      <c r="C289" s="17">
        <v>3010.291</v>
      </c>
      <c r="D289" s="17">
        <v>3393.208</v>
      </c>
      <c r="E289" s="17">
        <v>0</v>
      </c>
      <c r="F289" s="17">
        <v>0</v>
      </c>
      <c r="G289" s="17">
        <v>1</v>
      </c>
      <c r="H289" s="18">
        <v>0</v>
      </c>
      <c r="I289" s="18">
        <v>0</v>
      </c>
      <c r="J289" s="18">
        <v>0</v>
      </c>
      <c r="K289" s="19">
        <v>3</v>
      </c>
      <c r="L289" s="19">
        <v>2</v>
      </c>
      <c r="M289" s="19">
        <v>0</v>
      </c>
      <c r="N289" s="19">
        <v>-1</v>
      </c>
      <c r="O289" s="19">
        <v>0</v>
      </c>
      <c r="P289" s="19">
        <v>-9.4</v>
      </c>
      <c r="Q289" s="19">
        <v>0</v>
      </c>
      <c r="R289" s="19">
        <v>0</v>
      </c>
    </row>
    <row r="290" ht="16.5" spans="1:18">
      <c r="A290" s="17">
        <v>399356</v>
      </c>
      <c r="B290" s="17" t="s">
        <v>776</v>
      </c>
      <c r="C290" s="17">
        <v>8825.668</v>
      </c>
      <c r="D290" s="17">
        <v>9794.288</v>
      </c>
      <c r="E290" s="17">
        <v>0</v>
      </c>
      <c r="F290" s="17">
        <v>0</v>
      </c>
      <c r="G290" s="17">
        <v>1</v>
      </c>
      <c r="H290" s="18">
        <v>0</v>
      </c>
      <c r="I290" s="18">
        <v>0</v>
      </c>
      <c r="J290" s="18">
        <v>0</v>
      </c>
      <c r="K290" s="19">
        <v>3</v>
      </c>
      <c r="L290" s="19">
        <v>0</v>
      </c>
      <c r="M290" s="19">
        <v>0</v>
      </c>
      <c r="N290" s="19">
        <v>0</v>
      </c>
      <c r="O290" s="19">
        <v>0</v>
      </c>
      <c r="P290" s="19">
        <v>-41.667</v>
      </c>
      <c r="Q290" s="19">
        <v>0</v>
      </c>
      <c r="R290" s="19">
        <v>0</v>
      </c>
    </row>
    <row r="291" ht="16.5" spans="1:18">
      <c r="A291" s="17">
        <v>399357</v>
      </c>
      <c r="B291" s="17" t="s">
        <v>486</v>
      </c>
      <c r="C291" s="17">
        <v>2821.338</v>
      </c>
      <c r="D291" s="17">
        <v>3067.763</v>
      </c>
      <c r="E291" s="17">
        <v>0</v>
      </c>
      <c r="F291" s="17">
        <v>0</v>
      </c>
      <c r="G291" s="17">
        <v>1</v>
      </c>
      <c r="H291" s="18">
        <v>0</v>
      </c>
      <c r="I291" s="18">
        <v>0</v>
      </c>
      <c r="J291" s="18">
        <v>0</v>
      </c>
      <c r="K291" s="19">
        <v>3</v>
      </c>
      <c r="L291" s="19">
        <v>0</v>
      </c>
      <c r="M291" s="19">
        <v>0</v>
      </c>
      <c r="N291" s="19">
        <v>0</v>
      </c>
      <c r="O291" s="19">
        <v>0</v>
      </c>
      <c r="P291" s="19">
        <v>-40.334</v>
      </c>
      <c r="Q291" s="19">
        <v>0</v>
      </c>
      <c r="R291" s="19">
        <v>0</v>
      </c>
    </row>
    <row r="292" ht="16.5" spans="1:18">
      <c r="A292" s="17">
        <v>399358</v>
      </c>
      <c r="B292" s="17" t="s">
        <v>777</v>
      </c>
      <c r="C292" s="17">
        <v>4122.982</v>
      </c>
      <c r="D292" s="17">
        <v>4747.198</v>
      </c>
      <c r="E292" s="17">
        <v>0</v>
      </c>
      <c r="F292" s="17">
        <v>0</v>
      </c>
      <c r="G292" s="17">
        <v>1</v>
      </c>
      <c r="H292" s="18">
        <v>0</v>
      </c>
      <c r="I292" s="18">
        <v>0</v>
      </c>
      <c r="J292" s="18">
        <v>0</v>
      </c>
      <c r="K292" s="19">
        <v>3</v>
      </c>
      <c r="L292" s="19">
        <v>0</v>
      </c>
      <c r="M292" s="19">
        <v>0</v>
      </c>
      <c r="N292" s="19">
        <v>0</v>
      </c>
      <c r="O292" s="19">
        <v>0</v>
      </c>
      <c r="P292" s="19">
        <v>-16.228</v>
      </c>
      <c r="Q292" s="19">
        <v>0</v>
      </c>
      <c r="R292" s="19">
        <v>0</v>
      </c>
    </row>
    <row r="293" ht="16.5" spans="1:18">
      <c r="A293" s="17">
        <v>399362</v>
      </c>
      <c r="B293" s="17" t="s">
        <v>484</v>
      </c>
      <c r="C293" s="17">
        <v>6011.315</v>
      </c>
      <c r="D293" s="17">
        <v>6844.819</v>
      </c>
      <c r="E293" s="17">
        <v>0</v>
      </c>
      <c r="F293" s="17">
        <v>0</v>
      </c>
      <c r="G293" s="17">
        <v>1</v>
      </c>
      <c r="H293" s="18">
        <v>0</v>
      </c>
      <c r="I293" s="18">
        <v>0</v>
      </c>
      <c r="J293" s="18">
        <v>0</v>
      </c>
      <c r="K293" s="19">
        <v>3</v>
      </c>
      <c r="L293" s="19">
        <v>0</v>
      </c>
      <c r="M293" s="19">
        <v>0</v>
      </c>
      <c r="N293" s="19">
        <v>-1</v>
      </c>
      <c r="O293" s="19">
        <v>0</v>
      </c>
      <c r="P293" s="19">
        <v>-26.088</v>
      </c>
      <c r="Q293" s="19">
        <v>0</v>
      </c>
      <c r="R293" s="19">
        <v>0</v>
      </c>
    </row>
    <row r="294" ht="16.5" spans="1:18">
      <c r="A294" s="17">
        <v>399363</v>
      </c>
      <c r="B294" s="17" t="s">
        <v>778</v>
      </c>
      <c r="C294" s="17">
        <v>4742.597</v>
      </c>
      <c r="D294" s="17">
        <v>5954.7</v>
      </c>
      <c r="E294" s="17">
        <v>0</v>
      </c>
      <c r="F294" s="17">
        <v>0</v>
      </c>
      <c r="G294" s="17">
        <v>1</v>
      </c>
      <c r="H294" s="18">
        <v>0</v>
      </c>
      <c r="I294" s="18">
        <v>0</v>
      </c>
      <c r="J294" s="18">
        <v>0</v>
      </c>
      <c r="K294" s="19">
        <v>3</v>
      </c>
      <c r="L294" s="19">
        <v>2</v>
      </c>
      <c r="M294" s="19">
        <v>1</v>
      </c>
      <c r="N294" s="19">
        <v>-1</v>
      </c>
      <c r="O294" s="19">
        <v>0</v>
      </c>
      <c r="P294" s="19">
        <v>-9.512</v>
      </c>
      <c r="Q294" s="19">
        <v>0</v>
      </c>
      <c r="R294" s="19">
        <v>0</v>
      </c>
    </row>
    <row r="295" ht="16.5" spans="1:18">
      <c r="A295" s="17">
        <v>399364</v>
      </c>
      <c r="B295" s="17" t="s">
        <v>108</v>
      </c>
      <c r="C295" s="17">
        <v>7864.764</v>
      </c>
      <c r="D295" s="17">
        <v>8936.538</v>
      </c>
      <c r="E295" s="17">
        <v>0</v>
      </c>
      <c r="F295" s="17">
        <v>0</v>
      </c>
      <c r="G295" s="17">
        <v>1</v>
      </c>
      <c r="H295" s="18">
        <v>0</v>
      </c>
      <c r="I295" s="18">
        <v>0</v>
      </c>
      <c r="J295" s="18">
        <v>0</v>
      </c>
      <c r="K295" s="19">
        <v>3</v>
      </c>
      <c r="L295" s="19">
        <v>0</v>
      </c>
      <c r="M295" s="19">
        <v>1</v>
      </c>
      <c r="N295" s="19">
        <v>-1</v>
      </c>
      <c r="O295" s="19">
        <v>0</v>
      </c>
      <c r="P295" s="19">
        <v>-11.572</v>
      </c>
      <c r="Q295" s="19">
        <v>0</v>
      </c>
      <c r="R295" s="19">
        <v>0</v>
      </c>
    </row>
    <row r="296" ht="16.5" spans="1:18">
      <c r="A296" s="17">
        <v>399366</v>
      </c>
      <c r="B296" s="17" t="s">
        <v>483</v>
      </c>
      <c r="C296" s="17">
        <v>1388.916</v>
      </c>
      <c r="D296" s="17">
        <v>1663.579</v>
      </c>
      <c r="E296" s="17">
        <v>0</v>
      </c>
      <c r="F296" s="17">
        <v>0</v>
      </c>
      <c r="G296" s="17">
        <v>1</v>
      </c>
      <c r="H296" s="18">
        <v>0</v>
      </c>
      <c r="I296" s="18">
        <v>0</v>
      </c>
      <c r="J296" s="18">
        <v>0</v>
      </c>
      <c r="K296" s="19">
        <v>3</v>
      </c>
      <c r="L296" s="19">
        <v>1</v>
      </c>
      <c r="M296" s="19">
        <v>1</v>
      </c>
      <c r="N296" s="19">
        <v>-1</v>
      </c>
      <c r="O296" s="19">
        <v>0</v>
      </c>
      <c r="P296" s="19">
        <v>-14.245</v>
      </c>
      <c r="Q296" s="19">
        <v>0</v>
      </c>
      <c r="R296" s="19">
        <v>0</v>
      </c>
    </row>
    <row r="297" ht="16.5" spans="1:18">
      <c r="A297" s="17">
        <v>399367</v>
      </c>
      <c r="B297" s="17" t="s">
        <v>779</v>
      </c>
      <c r="C297" s="17">
        <v>2505.251</v>
      </c>
      <c r="D297" s="17">
        <v>3067.379</v>
      </c>
      <c r="E297" s="17">
        <v>0</v>
      </c>
      <c r="F297" s="17">
        <v>0</v>
      </c>
      <c r="G297" s="17">
        <v>1</v>
      </c>
      <c r="H297" s="18">
        <v>0</v>
      </c>
      <c r="I297" s="18">
        <v>0</v>
      </c>
      <c r="J297" s="18">
        <v>0</v>
      </c>
      <c r="K297" s="19">
        <v>3</v>
      </c>
      <c r="L297" s="19">
        <v>0</v>
      </c>
      <c r="M297" s="19">
        <v>0</v>
      </c>
      <c r="N297" s="19">
        <v>0</v>
      </c>
      <c r="O297" s="19">
        <v>0</v>
      </c>
      <c r="P297" s="19">
        <v>-46.86</v>
      </c>
      <c r="Q297" s="19">
        <v>0</v>
      </c>
      <c r="R297" s="19">
        <v>0</v>
      </c>
    </row>
    <row r="298" ht="16.5" spans="1:18">
      <c r="A298" s="17">
        <v>399368</v>
      </c>
      <c r="B298" s="17" t="s">
        <v>780</v>
      </c>
      <c r="C298" s="17">
        <v>6494.602</v>
      </c>
      <c r="D298" s="17">
        <v>7720.615</v>
      </c>
      <c r="E298" s="17">
        <v>0</v>
      </c>
      <c r="F298" s="17">
        <v>0</v>
      </c>
      <c r="G298" s="17">
        <v>1</v>
      </c>
      <c r="H298" s="18">
        <v>0</v>
      </c>
      <c r="I298" s="18">
        <v>0</v>
      </c>
      <c r="J298" s="18">
        <v>0</v>
      </c>
      <c r="K298" s="19">
        <v>3</v>
      </c>
      <c r="L298" s="19">
        <v>1</v>
      </c>
      <c r="M298" s="19">
        <v>0</v>
      </c>
      <c r="N298" s="19">
        <v>0</v>
      </c>
      <c r="O298" s="19">
        <v>0</v>
      </c>
      <c r="P298" s="19">
        <v>-33.451</v>
      </c>
      <c r="Q298" s="19">
        <v>0</v>
      </c>
      <c r="R298" s="19">
        <v>0</v>
      </c>
    </row>
    <row r="299" ht="16.5" spans="1:18">
      <c r="A299" s="17">
        <v>399369</v>
      </c>
      <c r="B299" s="17" t="s">
        <v>781</v>
      </c>
      <c r="C299" s="17">
        <v>1409.181</v>
      </c>
      <c r="D299" s="17">
        <v>1543.635</v>
      </c>
      <c r="E299" s="17">
        <v>0</v>
      </c>
      <c r="F299" s="17">
        <v>0</v>
      </c>
      <c r="G299" s="17">
        <v>1</v>
      </c>
      <c r="H299" s="18">
        <v>0</v>
      </c>
      <c r="I299" s="18">
        <v>0</v>
      </c>
      <c r="J299" s="18">
        <v>0</v>
      </c>
      <c r="K299" s="19">
        <v>3</v>
      </c>
      <c r="L299" s="19">
        <v>0</v>
      </c>
      <c r="M299" s="19">
        <v>0</v>
      </c>
      <c r="N299" s="19">
        <v>0</v>
      </c>
      <c r="O299" s="19">
        <v>0</v>
      </c>
      <c r="P299" s="19">
        <v>-25.915</v>
      </c>
      <c r="Q299" s="19">
        <v>0</v>
      </c>
      <c r="R299" s="19">
        <v>0</v>
      </c>
    </row>
    <row r="300" ht="16.5" spans="1:18">
      <c r="A300" s="17">
        <v>399370</v>
      </c>
      <c r="B300" s="17" t="s">
        <v>482</v>
      </c>
      <c r="C300" s="17">
        <v>3658.649</v>
      </c>
      <c r="D300" s="17">
        <v>4185.634</v>
      </c>
      <c r="E300" s="17">
        <v>0</v>
      </c>
      <c r="F300" s="17">
        <v>0</v>
      </c>
      <c r="G300" s="17">
        <v>1</v>
      </c>
      <c r="H300" s="18">
        <v>0</v>
      </c>
      <c r="I300" s="18">
        <v>0</v>
      </c>
      <c r="J300" s="18">
        <v>0</v>
      </c>
      <c r="K300" s="19">
        <v>3</v>
      </c>
      <c r="L300" s="19">
        <v>2</v>
      </c>
      <c r="M300" s="19">
        <v>0</v>
      </c>
      <c r="N300" s="19">
        <v>0</v>
      </c>
      <c r="O300" s="19">
        <v>0</v>
      </c>
      <c r="P300" s="19">
        <v>-28.543</v>
      </c>
      <c r="Q300" s="19">
        <v>0</v>
      </c>
      <c r="R300" s="19">
        <v>0</v>
      </c>
    </row>
    <row r="301" ht="16.5" spans="1:18">
      <c r="A301" s="17">
        <v>399371</v>
      </c>
      <c r="B301" s="17" t="s">
        <v>481</v>
      </c>
      <c r="C301" s="17">
        <v>6141.083</v>
      </c>
      <c r="D301" s="17">
        <v>6666.59</v>
      </c>
      <c r="E301" s="17">
        <v>0</v>
      </c>
      <c r="F301" s="17">
        <v>0</v>
      </c>
      <c r="G301" s="17">
        <v>1</v>
      </c>
      <c r="H301" s="18">
        <v>0</v>
      </c>
      <c r="I301" s="18">
        <v>0</v>
      </c>
      <c r="J301" s="18">
        <v>0</v>
      </c>
      <c r="K301" s="19">
        <v>3</v>
      </c>
      <c r="L301" s="19">
        <v>0</v>
      </c>
      <c r="M301" s="19">
        <v>0</v>
      </c>
      <c r="N301" s="19">
        <v>0</v>
      </c>
      <c r="O301" s="19">
        <v>0</v>
      </c>
      <c r="P301" s="19">
        <v>-10.5</v>
      </c>
      <c r="Q301" s="19">
        <v>0</v>
      </c>
      <c r="R301" s="19">
        <v>0</v>
      </c>
    </row>
    <row r="302" ht="16.5" spans="1:18">
      <c r="A302" s="17">
        <v>399372</v>
      </c>
      <c r="B302" s="17" t="s">
        <v>479</v>
      </c>
      <c r="C302" s="17">
        <v>3856.193</v>
      </c>
      <c r="D302" s="17">
        <v>4382.812</v>
      </c>
      <c r="E302" s="17">
        <v>0</v>
      </c>
      <c r="F302" s="17">
        <v>0</v>
      </c>
      <c r="G302" s="17">
        <v>1</v>
      </c>
      <c r="H302" s="18">
        <v>0</v>
      </c>
      <c r="I302" s="18">
        <v>0</v>
      </c>
      <c r="J302" s="18">
        <v>0</v>
      </c>
      <c r="K302" s="19">
        <v>3</v>
      </c>
      <c r="L302" s="19">
        <v>0</v>
      </c>
      <c r="M302" s="19">
        <v>0</v>
      </c>
      <c r="N302" s="19">
        <v>0</v>
      </c>
      <c r="O302" s="19">
        <v>0</v>
      </c>
      <c r="P302" s="19">
        <v>-10.982</v>
      </c>
      <c r="Q302" s="19">
        <v>0</v>
      </c>
      <c r="R302" s="19">
        <v>0</v>
      </c>
    </row>
    <row r="303" ht="16.5" spans="1:18">
      <c r="A303" s="17">
        <v>399373</v>
      </c>
      <c r="B303" s="17" t="s">
        <v>782</v>
      </c>
      <c r="C303" s="17">
        <v>7593.07</v>
      </c>
      <c r="D303" s="17">
        <v>8181.787</v>
      </c>
      <c r="E303" s="17">
        <v>0</v>
      </c>
      <c r="F303" s="17">
        <v>0</v>
      </c>
      <c r="G303" s="17">
        <v>1</v>
      </c>
      <c r="H303" s="18">
        <v>0</v>
      </c>
      <c r="I303" s="18">
        <v>0</v>
      </c>
      <c r="J303" s="18">
        <v>0</v>
      </c>
      <c r="K303" s="19">
        <v>2</v>
      </c>
      <c r="L303" s="19">
        <v>0</v>
      </c>
      <c r="M303" s="19">
        <v>0</v>
      </c>
      <c r="N303" s="19">
        <v>0</v>
      </c>
      <c r="O303" s="19">
        <v>0</v>
      </c>
      <c r="P303" s="19">
        <v>-6.941</v>
      </c>
      <c r="Q303" s="19">
        <v>0</v>
      </c>
      <c r="R303" s="19">
        <v>0</v>
      </c>
    </row>
    <row r="304" ht="16.5" spans="1:18">
      <c r="A304" s="17">
        <v>399374</v>
      </c>
      <c r="B304" s="17" t="s">
        <v>783</v>
      </c>
      <c r="C304" s="17">
        <v>3380.972</v>
      </c>
      <c r="D304" s="17">
        <v>3873.598</v>
      </c>
      <c r="E304" s="17">
        <v>0</v>
      </c>
      <c r="F304" s="17">
        <v>0</v>
      </c>
      <c r="G304" s="17">
        <v>1</v>
      </c>
      <c r="H304" s="18">
        <v>0</v>
      </c>
      <c r="I304" s="18">
        <v>0</v>
      </c>
      <c r="J304" s="18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</row>
    <row r="305" ht="16.5" spans="1:18">
      <c r="A305" s="17">
        <v>399375</v>
      </c>
      <c r="B305" s="17" t="s">
        <v>784</v>
      </c>
      <c r="C305" s="17">
        <v>4755.239</v>
      </c>
      <c r="D305" s="17">
        <v>5261.345</v>
      </c>
      <c r="E305" s="17">
        <v>0</v>
      </c>
      <c r="F305" s="17">
        <v>0</v>
      </c>
      <c r="G305" s="17">
        <v>1</v>
      </c>
      <c r="H305" s="18">
        <v>0</v>
      </c>
      <c r="I305" s="18">
        <v>0</v>
      </c>
      <c r="J305" s="18">
        <v>0</v>
      </c>
      <c r="K305" s="19">
        <v>3</v>
      </c>
      <c r="L305" s="19">
        <v>0</v>
      </c>
      <c r="M305" s="19">
        <v>1</v>
      </c>
      <c r="N305" s="19">
        <v>-1</v>
      </c>
      <c r="O305" s="19">
        <v>0</v>
      </c>
      <c r="P305" s="19">
        <v>-7.467</v>
      </c>
      <c r="Q305" s="19">
        <v>0</v>
      </c>
      <c r="R305" s="19">
        <v>0</v>
      </c>
    </row>
    <row r="306" ht="16.5" spans="1:18">
      <c r="A306" s="17">
        <v>399376</v>
      </c>
      <c r="B306" s="17" t="s">
        <v>477</v>
      </c>
      <c r="C306" s="17">
        <v>4212.529</v>
      </c>
      <c r="D306" s="17">
        <v>5010.093</v>
      </c>
      <c r="E306" s="17">
        <v>0</v>
      </c>
      <c r="F306" s="17">
        <v>0</v>
      </c>
      <c r="G306" s="17">
        <v>1</v>
      </c>
      <c r="H306" s="18">
        <v>0</v>
      </c>
      <c r="I306" s="18">
        <v>0</v>
      </c>
      <c r="J306" s="18">
        <v>0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</row>
    <row r="307" ht="16.5" spans="1:18">
      <c r="A307" s="17">
        <v>399377</v>
      </c>
      <c r="B307" s="17" t="s">
        <v>785</v>
      </c>
      <c r="C307" s="17">
        <v>6039.27</v>
      </c>
      <c r="D307" s="17">
        <v>6938.148</v>
      </c>
      <c r="E307" s="17">
        <v>0</v>
      </c>
      <c r="F307" s="17">
        <v>0</v>
      </c>
      <c r="G307" s="17">
        <v>1</v>
      </c>
      <c r="H307" s="18">
        <v>0</v>
      </c>
      <c r="I307" s="18">
        <v>0</v>
      </c>
      <c r="J307" s="18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ht="16.5" spans="1:18">
      <c r="A308" s="17">
        <v>399378</v>
      </c>
      <c r="B308" s="17" t="s">
        <v>786</v>
      </c>
      <c r="C308" s="17">
        <v>2281.202</v>
      </c>
      <c r="D308" s="17">
        <v>2546.427</v>
      </c>
      <c r="E308" s="17">
        <v>0</v>
      </c>
      <c r="F308" s="17">
        <v>0</v>
      </c>
      <c r="G308" s="17">
        <v>1</v>
      </c>
      <c r="H308" s="18">
        <v>0</v>
      </c>
      <c r="I308" s="18">
        <v>0</v>
      </c>
      <c r="J308" s="18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</row>
    <row r="309" ht="16.5" spans="1:18">
      <c r="A309" s="17">
        <v>399379</v>
      </c>
      <c r="B309" s="17" t="s">
        <v>787</v>
      </c>
      <c r="C309" s="17">
        <v>7121.278</v>
      </c>
      <c r="D309" s="17">
        <v>7953.791</v>
      </c>
      <c r="E309" s="17">
        <v>0</v>
      </c>
      <c r="F309" s="17">
        <v>0</v>
      </c>
      <c r="G309" s="17">
        <v>1</v>
      </c>
      <c r="H309" s="18">
        <v>0</v>
      </c>
      <c r="I309" s="18">
        <v>0</v>
      </c>
      <c r="J309" s="18">
        <v>0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v>0</v>
      </c>
      <c r="Q309" s="19">
        <v>0</v>
      </c>
      <c r="R309" s="19">
        <v>0</v>
      </c>
    </row>
    <row r="310" ht="16.5" spans="1:18">
      <c r="A310" s="17">
        <v>399380</v>
      </c>
      <c r="B310" s="17" t="s">
        <v>788</v>
      </c>
      <c r="C310" s="17">
        <v>1400.827</v>
      </c>
      <c r="D310" s="17">
        <v>1571.97</v>
      </c>
      <c r="E310" s="17">
        <v>0</v>
      </c>
      <c r="F310" s="17">
        <v>0</v>
      </c>
      <c r="G310" s="17">
        <v>1</v>
      </c>
      <c r="H310" s="18">
        <v>0</v>
      </c>
      <c r="I310" s="18">
        <v>0</v>
      </c>
      <c r="J310" s="18">
        <v>0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</row>
    <row r="311" ht="16.5" spans="1:18">
      <c r="A311" s="17">
        <v>399381</v>
      </c>
      <c r="B311" s="17" t="s">
        <v>789</v>
      </c>
      <c r="C311" s="17">
        <v>2749.478</v>
      </c>
      <c r="D311" s="17">
        <v>3172.408</v>
      </c>
      <c r="E311" s="17">
        <v>0</v>
      </c>
      <c r="F311" s="17">
        <v>0</v>
      </c>
      <c r="G311" s="17">
        <v>1</v>
      </c>
      <c r="H311" s="18">
        <v>0</v>
      </c>
      <c r="I311" s="18">
        <v>0</v>
      </c>
      <c r="J311" s="18">
        <v>0</v>
      </c>
      <c r="K311" s="19">
        <v>4</v>
      </c>
      <c r="L311" s="19">
        <v>1</v>
      </c>
      <c r="M311" s="19">
        <v>0</v>
      </c>
      <c r="N311" s="19">
        <v>1</v>
      </c>
      <c r="O311" s="19">
        <v>0</v>
      </c>
      <c r="P311" s="19">
        <v>-7.827</v>
      </c>
      <c r="Q311" s="19">
        <v>0</v>
      </c>
      <c r="R311" s="19">
        <v>1</v>
      </c>
    </row>
    <row r="312" ht="16.5" spans="1:18">
      <c r="A312" s="17">
        <v>399382</v>
      </c>
      <c r="B312" s="17" t="s">
        <v>790</v>
      </c>
      <c r="C312" s="17">
        <v>2304.988</v>
      </c>
      <c r="D312" s="17">
        <v>2598.268</v>
      </c>
      <c r="E312" s="17">
        <v>0</v>
      </c>
      <c r="F312" s="17">
        <v>0</v>
      </c>
      <c r="G312" s="17">
        <v>1</v>
      </c>
      <c r="H312" s="18">
        <v>0</v>
      </c>
      <c r="I312" s="18">
        <v>0</v>
      </c>
      <c r="J312" s="18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</row>
    <row r="313" ht="16.5" spans="1:18">
      <c r="A313" s="17">
        <v>399383</v>
      </c>
      <c r="B313" s="17" t="s">
        <v>791</v>
      </c>
      <c r="C313" s="17">
        <v>2236.684</v>
      </c>
      <c r="D313" s="17">
        <v>2559.892</v>
      </c>
      <c r="E313" s="17">
        <v>0</v>
      </c>
      <c r="F313" s="17">
        <v>0</v>
      </c>
      <c r="G313" s="17">
        <v>1</v>
      </c>
      <c r="H313" s="18">
        <v>0</v>
      </c>
      <c r="I313" s="18">
        <v>0</v>
      </c>
      <c r="J313" s="18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0</v>
      </c>
      <c r="R313" s="19">
        <v>0</v>
      </c>
    </row>
    <row r="314" ht="16.5" spans="1:18">
      <c r="A314" s="17">
        <v>399384</v>
      </c>
      <c r="B314" s="17" t="s">
        <v>792</v>
      </c>
      <c r="C314" s="17">
        <v>3679.105</v>
      </c>
      <c r="D314" s="17">
        <v>4106.645</v>
      </c>
      <c r="E314" s="17">
        <v>0</v>
      </c>
      <c r="F314" s="17">
        <v>0</v>
      </c>
      <c r="G314" s="17">
        <v>1</v>
      </c>
      <c r="H314" s="18">
        <v>0</v>
      </c>
      <c r="I314" s="18">
        <v>0</v>
      </c>
      <c r="J314" s="18">
        <v>0</v>
      </c>
      <c r="K314" s="19">
        <v>1</v>
      </c>
      <c r="L314" s="19">
        <v>1</v>
      </c>
      <c r="M314" s="19">
        <v>0</v>
      </c>
      <c r="N314" s="19">
        <v>0</v>
      </c>
      <c r="O314" s="19">
        <v>0</v>
      </c>
      <c r="P314" s="19">
        <v>-14.334</v>
      </c>
      <c r="Q314" s="19">
        <v>0</v>
      </c>
      <c r="R314" s="19">
        <v>1</v>
      </c>
    </row>
    <row r="315" ht="16.5" spans="1:18">
      <c r="A315" s="17">
        <v>399387</v>
      </c>
      <c r="B315" s="17" t="s">
        <v>793</v>
      </c>
      <c r="C315" s="17">
        <v>4843.98</v>
      </c>
      <c r="D315" s="17">
        <v>5425.157</v>
      </c>
      <c r="E315" s="17">
        <v>0</v>
      </c>
      <c r="F315" s="17">
        <v>0</v>
      </c>
      <c r="G315" s="17">
        <v>1</v>
      </c>
      <c r="H315" s="18">
        <v>0</v>
      </c>
      <c r="I315" s="18">
        <v>0</v>
      </c>
      <c r="J315" s="18">
        <v>0</v>
      </c>
      <c r="K315" s="19">
        <v>3</v>
      </c>
      <c r="L315" s="19">
        <v>1</v>
      </c>
      <c r="M315" s="19">
        <v>0</v>
      </c>
      <c r="N315" s="19">
        <v>0</v>
      </c>
      <c r="O315" s="19">
        <v>0</v>
      </c>
      <c r="P315" s="19">
        <v>-6.344</v>
      </c>
      <c r="Q315" s="19">
        <v>0</v>
      </c>
      <c r="R315" s="19">
        <v>1</v>
      </c>
    </row>
    <row r="316" ht="16.5" spans="1:18">
      <c r="A316" s="17">
        <v>399388</v>
      </c>
      <c r="B316" s="17" t="s">
        <v>794</v>
      </c>
      <c r="C316" s="17">
        <v>4223.933</v>
      </c>
      <c r="D316" s="17">
        <v>5222.994</v>
      </c>
      <c r="E316" s="17">
        <v>0</v>
      </c>
      <c r="F316" s="17">
        <v>0</v>
      </c>
      <c r="G316" s="17">
        <v>1</v>
      </c>
      <c r="H316" s="18">
        <v>0</v>
      </c>
      <c r="I316" s="18">
        <v>0</v>
      </c>
      <c r="J316" s="18">
        <v>0</v>
      </c>
      <c r="K316" s="19">
        <v>3</v>
      </c>
      <c r="L316" s="19">
        <v>0</v>
      </c>
      <c r="M316" s="19">
        <v>0</v>
      </c>
      <c r="N316" s="19">
        <v>0</v>
      </c>
      <c r="O316" s="19">
        <v>0</v>
      </c>
      <c r="P316" s="19">
        <v>-12.791</v>
      </c>
      <c r="Q316" s="19">
        <v>0</v>
      </c>
      <c r="R316" s="19">
        <v>1</v>
      </c>
    </row>
    <row r="317" ht="16.5" spans="1:18">
      <c r="A317" s="17">
        <v>399389</v>
      </c>
      <c r="B317" s="17" t="s">
        <v>795</v>
      </c>
      <c r="C317" s="17">
        <v>4126.268</v>
      </c>
      <c r="D317" s="17">
        <v>4924.916</v>
      </c>
      <c r="E317" s="17">
        <v>0</v>
      </c>
      <c r="F317" s="17">
        <v>0</v>
      </c>
      <c r="G317" s="17">
        <v>1</v>
      </c>
      <c r="H317" s="18">
        <v>0</v>
      </c>
      <c r="I317" s="18">
        <v>0</v>
      </c>
      <c r="J317" s="18">
        <v>0</v>
      </c>
      <c r="K317" s="19">
        <v>4</v>
      </c>
      <c r="L317" s="19">
        <v>0</v>
      </c>
      <c r="M317" s="19">
        <v>0</v>
      </c>
      <c r="N317" s="19">
        <v>0</v>
      </c>
      <c r="O317" s="19">
        <v>0</v>
      </c>
      <c r="P317" s="19">
        <v>-4.32</v>
      </c>
      <c r="Q317" s="19">
        <v>0</v>
      </c>
      <c r="R317" s="19">
        <v>1</v>
      </c>
    </row>
    <row r="318" ht="16.5" spans="1:18">
      <c r="A318" s="17">
        <v>399392</v>
      </c>
      <c r="B318" s="17" t="s">
        <v>796</v>
      </c>
      <c r="C318" s="17">
        <v>2255.85</v>
      </c>
      <c r="D318" s="17">
        <v>2577.185</v>
      </c>
      <c r="E318" s="17">
        <v>0</v>
      </c>
      <c r="F318" s="17">
        <v>0</v>
      </c>
      <c r="G318" s="17">
        <v>1</v>
      </c>
      <c r="H318" s="18">
        <v>0</v>
      </c>
      <c r="I318" s="18">
        <v>0</v>
      </c>
      <c r="J318" s="18">
        <v>0</v>
      </c>
      <c r="K318" s="19">
        <v>4</v>
      </c>
      <c r="L318" s="19">
        <v>0</v>
      </c>
      <c r="M318" s="19">
        <v>0</v>
      </c>
      <c r="N318" s="19">
        <v>0</v>
      </c>
      <c r="O318" s="19">
        <v>0</v>
      </c>
      <c r="P318" s="19">
        <v>-7.832</v>
      </c>
      <c r="Q318" s="19">
        <v>0</v>
      </c>
      <c r="R318" s="19">
        <v>1</v>
      </c>
    </row>
    <row r="319" ht="16.5" spans="1:18">
      <c r="A319" s="17">
        <v>399393</v>
      </c>
      <c r="B319" s="17" t="s">
        <v>797</v>
      </c>
      <c r="C319" s="17">
        <v>2898.231</v>
      </c>
      <c r="D319" s="17">
        <v>3582.322</v>
      </c>
      <c r="E319" s="17">
        <v>0</v>
      </c>
      <c r="F319" s="17">
        <v>0</v>
      </c>
      <c r="G319" s="17">
        <v>1</v>
      </c>
      <c r="H319" s="18">
        <v>0</v>
      </c>
      <c r="I319" s="18">
        <v>0</v>
      </c>
      <c r="J319" s="18">
        <v>0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</row>
    <row r="320" ht="16.5" spans="1:18">
      <c r="A320" s="17">
        <v>399395</v>
      </c>
      <c r="B320" s="17" t="s">
        <v>798</v>
      </c>
      <c r="C320" s="17">
        <v>4920.371</v>
      </c>
      <c r="D320" s="17">
        <v>5642.828</v>
      </c>
      <c r="E320" s="17">
        <v>0</v>
      </c>
      <c r="F320" s="17">
        <v>0</v>
      </c>
      <c r="G320" s="17">
        <v>1</v>
      </c>
      <c r="H320" s="18">
        <v>0</v>
      </c>
      <c r="I320" s="18">
        <v>0</v>
      </c>
      <c r="J320" s="18">
        <v>0</v>
      </c>
      <c r="K320" s="19">
        <v>3</v>
      </c>
      <c r="L320" s="19">
        <v>0</v>
      </c>
      <c r="M320" s="19">
        <v>1</v>
      </c>
      <c r="N320" s="19">
        <v>-1</v>
      </c>
      <c r="O320" s="19">
        <v>0</v>
      </c>
      <c r="P320" s="19">
        <v>-15.354</v>
      </c>
      <c r="Q320" s="19">
        <v>0</v>
      </c>
      <c r="R320" s="19">
        <v>0</v>
      </c>
    </row>
    <row r="321" ht="16.5" spans="1:18">
      <c r="A321" s="17">
        <v>399398</v>
      </c>
      <c r="B321" s="17" t="s">
        <v>799</v>
      </c>
      <c r="C321" s="17">
        <v>9669.768</v>
      </c>
      <c r="D321" s="17">
        <v>10923.222</v>
      </c>
      <c r="E321" s="17">
        <v>0</v>
      </c>
      <c r="F321" s="17">
        <v>0</v>
      </c>
      <c r="G321" s="17">
        <v>1</v>
      </c>
      <c r="H321" s="18">
        <v>0</v>
      </c>
      <c r="I321" s="18">
        <v>0</v>
      </c>
      <c r="J321" s="18">
        <v>0</v>
      </c>
      <c r="K321" s="19">
        <v>3</v>
      </c>
      <c r="L321" s="19">
        <v>0</v>
      </c>
      <c r="M321" s="19">
        <v>1</v>
      </c>
      <c r="N321" s="19">
        <v>-1</v>
      </c>
      <c r="O321" s="19">
        <v>0</v>
      </c>
      <c r="P321" s="19">
        <v>-35.73</v>
      </c>
      <c r="Q321" s="19">
        <v>0</v>
      </c>
      <c r="R321" s="19">
        <v>0</v>
      </c>
    </row>
    <row r="322" ht="16.5" spans="1:18">
      <c r="A322" s="17">
        <v>399399</v>
      </c>
      <c r="B322" s="17" t="s">
        <v>800</v>
      </c>
      <c r="C322" s="17">
        <v>6581.721</v>
      </c>
      <c r="D322" s="17">
        <v>7357.651</v>
      </c>
      <c r="E322" s="17">
        <v>0</v>
      </c>
      <c r="F322" s="17">
        <v>0</v>
      </c>
      <c r="G322" s="17">
        <v>1</v>
      </c>
      <c r="H322" s="18">
        <v>0</v>
      </c>
      <c r="I322" s="18">
        <v>0</v>
      </c>
      <c r="J322" s="18">
        <v>0</v>
      </c>
      <c r="K322" s="19">
        <v>2</v>
      </c>
      <c r="L322" s="19">
        <v>2</v>
      </c>
      <c r="M322" s="19">
        <v>1</v>
      </c>
      <c r="N322" s="19">
        <v>-1</v>
      </c>
      <c r="O322" s="19">
        <v>0</v>
      </c>
      <c r="P322" s="19">
        <v>-10.036</v>
      </c>
      <c r="Q322" s="19">
        <v>0</v>
      </c>
      <c r="R322" s="19">
        <v>0</v>
      </c>
    </row>
    <row r="323" ht="16.5" spans="1:18">
      <c r="A323" s="17">
        <v>399400</v>
      </c>
      <c r="B323" s="17" t="s">
        <v>801</v>
      </c>
      <c r="C323" s="17">
        <v>3292.081</v>
      </c>
      <c r="D323" s="17">
        <v>3655.574</v>
      </c>
      <c r="E323" s="17">
        <v>0</v>
      </c>
      <c r="F323" s="17">
        <v>0</v>
      </c>
      <c r="G323" s="17">
        <v>1</v>
      </c>
      <c r="H323" s="18">
        <v>0</v>
      </c>
      <c r="I323" s="18">
        <v>0</v>
      </c>
      <c r="J323" s="18">
        <v>0</v>
      </c>
      <c r="K323" s="19">
        <v>2</v>
      </c>
      <c r="L323" s="19">
        <v>1</v>
      </c>
      <c r="M323" s="19">
        <v>1</v>
      </c>
      <c r="N323" s="19">
        <v>-1</v>
      </c>
      <c r="O323" s="19">
        <v>0</v>
      </c>
      <c r="P323" s="19">
        <v>-25.442</v>
      </c>
      <c r="Q323" s="19">
        <v>-1</v>
      </c>
      <c r="R323" s="19">
        <v>0</v>
      </c>
    </row>
    <row r="324" ht="16.5" spans="1:18">
      <c r="A324" s="17">
        <v>399401</v>
      </c>
      <c r="B324" s="17" t="s">
        <v>802</v>
      </c>
      <c r="C324" s="17">
        <v>3503.746</v>
      </c>
      <c r="D324" s="17">
        <v>4079.271</v>
      </c>
      <c r="E324" s="17">
        <v>0</v>
      </c>
      <c r="F324" s="17">
        <v>0</v>
      </c>
      <c r="G324" s="17">
        <v>1</v>
      </c>
      <c r="H324" s="18">
        <v>0</v>
      </c>
      <c r="I324" s="18">
        <v>0</v>
      </c>
      <c r="J324" s="18">
        <v>0</v>
      </c>
      <c r="K324" s="19">
        <v>3</v>
      </c>
      <c r="L324" s="19">
        <v>1</v>
      </c>
      <c r="M324" s="19">
        <v>0</v>
      </c>
      <c r="N324" s="19">
        <v>0</v>
      </c>
      <c r="O324" s="19">
        <v>0</v>
      </c>
      <c r="P324" s="19">
        <v>-6.495</v>
      </c>
      <c r="Q324" s="19">
        <v>0</v>
      </c>
      <c r="R324" s="19">
        <v>0</v>
      </c>
    </row>
    <row r="325" ht="16.5" spans="1:18">
      <c r="A325" s="17">
        <v>399402</v>
      </c>
      <c r="B325" s="17" t="s">
        <v>803</v>
      </c>
      <c r="C325" s="17">
        <v>2874.823</v>
      </c>
      <c r="D325" s="17">
        <v>3274.744</v>
      </c>
      <c r="E325" s="17">
        <v>0</v>
      </c>
      <c r="F325" s="17">
        <v>0</v>
      </c>
      <c r="G325" s="17">
        <v>1</v>
      </c>
      <c r="H325" s="18">
        <v>0</v>
      </c>
      <c r="I325" s="18">
        <v>0</v>
      </c>
      <c r="J325" s="18">
        <v>0</v>
      </c>
      <c r="K325" s="19">
        <v>3</v>
      </c>
      <c r="L325" s="19">
        <v>0</v>
      </c>
      <c r="M325" s="19">
        <v>1</v>
      </c>
      <c r="N325" s="19">
        <v>-1</v>
      </c>
      <c r="O325" s="19">
        <v>0</v>
      </c>
      <c r="P325" s="19">
        <v>-13.566</v>
      </c>
      <c r="Q325" s="19">
        <v>0</v>
      </c>
      <c r="R325" s="19">
        <v>0</v>
      </c>
    </row>
    <row r="326" ht="16.5" spans="1:18">
      <c r="A326" s="17">
        <v>399405</v>
      </c>
      <c r="B326" s="17" t="s">
        <v>804</v>
      </c>
      <c r="C326" s="17">
        <v>2102.334</v>
      </c>
      <c r="D326" s="17">
        <v>2490.579</v>
      </c>
      <c r="E326" s="17">
        <v>0</v>
      </c>
      <c r="F326" s="17">
        <v>0</v>
      </c>
      <c r="G326" s="17">
        <v>1</v>
      </c>
      <c r="H326" s="18">
        <v>0</v>
      </c>
      <c r="I326" s="18">
        <v>0</v>
      </c>
      <c r="J326" s="18">
        <v>0</v>
      </c>
      <c r="K326" s="19">
        <v>3</v>
      </c>
      <c r="L326" s="19">
        <v>0</v>
      </c>
      <c r="M326" s="19">
        <v>1</v>
      </c>
      <c r="N326" s="19">
        <v>0</v>
      </c>
      <c r="O326" s="19">
        <v>0</v>
      </c>
      <c r="P326" s="19">
        <v>-12.372</v>
      </c>
      <c r="Q326" s="19">
        <v>0</v>
      </c>
      <c r="R326" s="19">
        <v>0</v>
      </c>
    </row>
    <row r="327" ht="16.5" spans="1:18">
      <c r="A327" s="17">
        <v>399406</v>
      </c>
      <c r="B327" s="17" t="s">
        <v>805</v>
      </c>
      <c r="C327" s="17">
        <v>11708.362</v>
      </c>
      <c r="D327" s="17">
        <v>12822.161</v>
      </c>
      <c r="E327" s="17">
        <v>0</v>
      </c>
      <c r="F327" s="17">
        <v>0</v>
      </c>
      <c r="G327" s="17">
        <v>1</v>
      </c>
      <c r="H327" s="18">
        <v>0</v>
      </c>
      <c r="I327" s="18">
        <v>0</v>
      </c>
      <c r="J327" s="18">
        <v>0</v>
      </c>
      <c r="K327" s="19">
        <v>2</v>
      </c>
      <c r="L327" s="19">
        <v>0</v>
      </c>
      <c r="M327" s="19">
        <v>0</v>
      </c>
      <c r="N327" s="19">
        <v>0</v>
      </c>
      <c r="O327" s="19">
        <v>0</v>
      </c>
      <c r="P327" s="19">
        <v>-8.183</v>
      </c>
      <c r="Q327" s="19">
        <v>0</v>
      </c>
      <c r="R327" s="19">
        <v>0</v>
      </c>
    </row>
    <row r="328" ht="16.5" spans="1:18">
      <c r="A328" s="17">
        <v>399407</v>
      </c>
      <c r="B328" s="17" t="s">
        <v>806</v>
      </c>
      <c r="C328" s="17">
        <v>2020.586</v>
      </c>
      <c r="D328" s="17">
        <v>2478.848</v>
      </c>
      <c r="E328" s="17">
        <v>0</v>
      </c>
      <c r="F328" s="17">
        <v>0</v>
      </c>
      <c r="G328" s="17">
        <v>1</v>
      </c>
      <c r="H328" s="18">
        <v>0</v>
      </c>
      <c r="I328" s="18">
        <v>0</v>
      </c>
      <c r="J328" s="18">
        <v>0</v>
      </c>
      <c r="K328" s="19">
        <v>3</v>
      </c>
      <c r="L328" s="19">
        <v>0</v>
      </c>
      <c r="M328" s="19">
        <v>0</v>
      </c>
      <c r="N328" s="19">
        <v>-1</v>
      </c>
      <c r="O328" s="19">
        <v>0</v>
      </c>
      <c r="P328" s="19">
        <v>-21.398</v>
      </c>
      <c r="Q328" s="19">
        <v>0</v>
      </c>
      <c r="R328" s="19">
        <v>0</v>
      </c>
    </row>
    <row r="329" ht="16.5" spans="1:18">
      <c r="A329" s="17">
        <v>399408</v>
      </c>
      <c r="B329" s="17" t="s">
        <v>807</v>
      </c>
      <c r="C329" s="17">
        <v>12838.38</v>
      </c>
      <c r="D329" s="17">
        <v>14584.771</v>
      </c>
      <c r="E329" s="17">
        <v>0</v>
      </c>
      <c r="F329" s="17">
        <v>0</v>
      </c>
      <c r="G329" s="17">
        <v>1</v>
      </c>
      <c r="H329" s="18">
        <v>0</v>
      </c>
      <c r="I329" s="18">
        <v>0</v>
      </c>
      <c r="J329" s="18">
        <v>0</v>
      </c>
      <c r="K329" s="19">
        <v>3</v>
      </c>
      <c r="L329" s="19">
        <v>0</v>
      </c>
      <c r="M329" s="19">
        <v>0</v>
      </c>
      <c r="N329" s="19">
        <v>-1</v>
      </c>
      <c r="O329" s="19">
        <v>0</v>
      </c>
      <c r="P329" s="19">
        <v>-30.966</v>
      </c>
      <c r="Q329" s="19">
        <v>0</v>
      </c>
      <c r="R329" s="19">
        <v>0</v>
      </c>
    </row>
    <row r="330" ht="16.5" spans="1:18">
      <c r="A330" s="17">
        <v>399410</v>
      </c>
      <c r="B330" s="17" t="s">
        <v>808</v>
      </c>
      <c r="C330" s="17">
        <v>1700.59</v>
      </c>
      <c r="D330" s="17">
        <v>1974.065</v>
      </c>
      <c r="E330" s="17">
        <v>0</v>
      </c>
      <c r="F330" s="17">
        <v>0</v>
      </c>
      <c r="G330" s="17">
        <v>1</v>
      </c>
      <c r="H330" s="18">
        <v>0</v>
      </c>
      <c r="I330" s="18">
        <v>0</v>
      </c>
      <c r="J330" s="18">
        <v>0</v>
      </c>
      <c r="K330" s="19">
        <v>3</v>
      </c>
      <c r="L330" s="19">
        <v>2</v>
      </c>
      <c r="M330" s="19">
        <v>0</v>
      </c>
      <c r="N330" s="19">
        <v>-1</v>
      </c>
      <c r="O330" s="19">
        <v>0</v>
      </c>
      <c r="P330" s="19">
        <v>-12.519</v>
      </c>
      <c r="Q330" s="19">
        <v>0</v>
      </c>
      <c r="R330" s="19">
        <v>0</v>
      </c>
    </row>
    <row r="331" ht="16.5" spans="1:18">
      <c r="A331" s="17">
        <v>399411</v>
      </c>
      <c r="B331" s="17" t="s">
        <v>809</v>
      </c>
      <c r="C331" s="17">
        <v>3284.529</v>
      </c>
      <c r="D331" s="17">
        <v>3585.058</v>
      </c>
      <c r="E331" s="17">
        <v>0</v>
      </c>
      <c r="F331" s="17">
        <v>0</v>
      </c>
      <c r="G331" s="17">
        <v>1</v>
      </c>
      <c r="H331" s="18">
        <v>0</v>
      </c>
      <c r="I331" s="18">
        <v>0</v>
      </c>
      <c r="J331" s="18">
        <v>0</v>
      </c>
      <c r="K331" s="19">
        <v>2</v>
      </c>
      <c r="L331" s="19">
        <v>0</v>
      </c>
      <c r="M331" s="19">
        <v>0</v>
      </c>
      <c r="N331" s="19">
        <v>0</v>
      </c>
      <c r="O331" s="19">
        <v>0</v>
      </c>
      <c r="P331" s="19">
        <v>-19.554</v>
      </c>
      <c r="Q331" s="19">
        <v>1</v>
      </c>
      <c r="R331" s="19">
        <v>0</v>
      </c>
    </row>
    <row r="332" ht="16.5" spans="1:18">
      <c r="A332" s="17">
        <v>399412</v>
      </c>
      <c r="B332" s="17" t="s">
        <v>810</v>
      </c>
      <c r="C332" s="17">
        <v>2127.158</v>
      </c>
      <c r="D332" s="17">
        <v>2516.726</v>
      </c>
      <c r="E332" s="17">
        <v>0</v>
      </c>
      <c r="F332" s="17">
        <v>0</v>
      </c>
      <c r="G332" s="17">
        <v>1</v>
      </c>
      <c r="H332" s="18">
        <v>0</v>
      </c>
      <c r="I332" s="18">
        <v>0</v>
      </c>
      <c r="J332" s="18">
        <v>0</v>
      </c>
      <c r="K332" s="19">
        <v>2</v>
      </c>
      <c r="L332" s="19">
        <v>0</v>
      </c>
      <c r="M332" s="19">
        <v>1</v>
      </c>
      <c r="N332" s="19">
        <v>-1</v>
      </c>
      <c r="O332" s="19">
        <v>0</v>
      </c>
      <c r="P332" s="19">
        <v>-35.782</v>
      </c>
      <c r="Q332" s="19">
        <v>0</v>
      </c>
      <c r="R332" s="19">
        <v>0</v>
      </c>
    </row>
    <row r="333" ht="16.5" spans="1:18">
      <c r="A333" s="17">
        <v>399415</v>
      </c>
      <c r="B333" s="17" t="s">
        <v>811</v>
      </c>
      <c r="C333" s="17">
        <v>5464.582</v>
      </c>
      <c r="D333" s="17">
        <v>6075.265</v>
      </c>
      <c r="E333" s="17">
        <v>0</v>
      </c>
      <c r="F333" s="17">
        <v>0</v>
      </c>
      <c r="G333" s="17">
        <v>1</v>
      </c>
      <c r="H333" s="18">
        <v>0</v>
      </c>
      <c r="I333" s="18">
        <v>0</v>
      </c>
      <c r="J333" s="18">
        <v>0</v>
      </c>
      <c r="K333" s="19">
        <v>3</v>
      </c>
      <c r="L333" s="19">
        <v>0</v>
      </c>
      <c r="M333" s="19">
        <v>0</v>
      </c>
      <c r="N333" s="19">
        <v>0</v>
      </c>
      <c r="O333" s="19">
        <v>0</v>
      </c>
      <c r="P333" s="19">
        <v>-17.374</v>
      </c>
      <c r="Q333" s="19">
        <v>0</v>
      </c>
      <c r="R333" s="19">
        <v>0</v>
      </c>
    </row>
    <row r="334" ht="16.5" spans="1:18">
      <c r="A334" s="17">
        <v>399419</v>
      </c>
      <c r="B334" s="17" t="s">
        <v>812</v>
      </c>
      <c r="C334" s="17">
        <v>1673.701</v>
      </c>
      <c r="D334" s="17">
        <v>1958.696</v>
      </c>
      <c r="E334" s="17">
        <v>0</v>
      </c>
      <c r="F334" s="17">
        <v>0</v>
      </c>
      <c r="G334" s="17">
        <v>1</v>
      </c>
      <c r="H334" s="18">
        <v>0</v>
      </c>
      <c r="I334" s="18">
        <v>0</v>
      </c>
      <c r="J334" s="18">
        <v>0</v>
      </c>
      <c r="K334" s="19">
        <v>3</v>
      </c>
      <c r="L334" s="19">
        <v>0</v>
      </c>
      <c r="M334" s="19">
        <v>0</v>
      </c>
      <c r="N334" s="19">
        <v>0</v>
      </c>
      <c r="O334" s="19">
        <v>0</v>
      </c>
      <c r="P334" s="19">
        <v>-6.654</v>
      </c>
      <c r="Q334" s="19">
        <v>0</v>
      </c>
      <c r="R334" s="19">
        <v>0</v>
      </c>
    </row>
    <row r="335" ht="16.5" spans="1:18">
      <c r="A335" s="17">
        <v>399420</v>
      </c>
      <c r="B335" s="17" t="s">
        <v>813</v>
      </c>
      <c r="C335" s="17">
        <v>1300.704</v>
      </c>
      <c r="D335" s="17">
        <v>1587.558</v>
      </c>
      <c r="E335" s="17">
        <v>0</v>
      </c>
      <c r="F335" s="17">
        <v>0</v>
      </c>
      <c r="G335" s="17">
        <v>1</v>
      </c>
      <c r="H335" s="18">
        <v>0</v>
      </c>
      <c r="I335" s="18">
        <v>0</v>
      </c>
      <c r="J335" s="18">
        <v>0</v>
      </c>
      <c r="K335" s="19">
        <v>3</v>
      </c>
      <c r="L335" s="19">
        <v>0</v>
      </c>
      <c r="M335" s="19">
        <v>0</v>
      </c>
      <c r="N335" s="19">
        <v>0</v>
      </c>
      <c r="O335" s="19">
        <v>0</v>
      </c>
      <c r="P335" s="19">
        <v>-8.516</v>
      </c>
      <c r="Q335" s="19">
        <v>0</v>
      </c>
      <c r="R335" s="19">
        <v>0</v>
      </c>
    </row>
    <row r="336" ht="16.5" spans="1:18">
      <c r="A336" s="17">
        <v>399422</v>
      </c>
      <c r="B336" s="17" t="s">
        <v>814</v>
      </c>
      <c r="C336" s="17">
        <v>2734.951</v>
      </c>
      <c r="D336" s="17">
        <v>3263.323</v>
      </c>
      <c r="E336" s="17">
        <v>0</v>
      </c>
      <c r="F336" s="17">
        <v>0</v>
      </c>
      <c r="G336" s="17">
        <v>1</v>
      </c>
      <c r="H336" s="18">
        <v>0</v>
      </c>
      <c r="I336" s="18">
        <v>0</v>
      </c>
      <c r="J336" s="18">
        <v>0</v>
      </c>
      <c r="K336" s="19">
        <v>2</v>
      </c>
      <c r="L336" s="19">
        <v>0</v>
      </c>
      <c r="M336" s="19">
        <v>0</v>
      </c>
      <c r="N336" s="19">
        <v>0</v>
      </c>
      <c r="O336" s="19">
        <v>0</v>
      </c>
      <c r="P336" s="19">
        <v>-12.795</v>
      </c>
      <c r="Q336" s="19">
        <v>0</v>
      </c>
      <c r="R336" s="19">
        <v>0</v>
      </c>
    </row>
    <row r="337" ht="16.5" spans="1:18">
      <c r="A337" s="17">
        <v>399429</v>
      </c>
      <c r="B337" s="17" t="s">
        <v>815</v>
      </c>
      <c r="C337" s="17">
        <v>1205.756</v>
      </c>
      <c r="D337" s="17">
        <v>1391.903</v>
      </c>
      <c r="E337" s="17">
        <v>0</v>
      </c>
      <c r="F337" s="17">
        <v>0</v>
      </c>
      <c r="G337" s="17">
        <v>1</v>
      </c>
      <c r="H337" s="18">
        <v>0</v>
      </c>
      <c r="I337" s="18">
        <v>0</v>
      </c>
      <c r="J337" s="18">
        <v>0</v>
      </c>
      <c r="K337" s="19">
        <v>1</v>
      </c>
      <c r="L337" s="19">
        <v>2</v>
      </c>
      <c r="M337" s="19">
        <v>1</v>
      </c>
      <c r="N337" s="19">
        <v>-1</v>
      </c>
      <c r="O337" s="19">
        <v>0</v>
      </c>
      <c r="P337" s="19">
        <v>-15.153</v>
      </c>
      <c r="Q337" s="19">
        <v>0</v>
      </c>
      <c r="R337" s="19">
        <v>0</v>
      </c>
    </row>
    <row r="338" ht="16.5" spans="1:18">
      <c r="A338" s="17">
        <v>399433</v>
      </c>
      <c r="B338" s="17" t="s">
        <v>816</v>
      </c>
      <c r="C338" s="17">
        <v>1612.007</v>
      </c>
      <c r="D338" s="17">
        <v>1783.219</v>
      </c>
      <c r="E338" s="17">
        <v>0</v>
      </c>
      <c r="F338" s="17">
        <v>0</v>
      </c>
      <c r="G338" s="17">
        <v>1</v>
      </c>
      <c r="H338" s="18">
        <v>0</v>
      </c>
      <c r="I338" s="18">
        <v>0</v>
      </c>
      <c r="J338" s="18">
        <v>0</v>
      </c>
      <c r="K338" s="19">
        <v>3</v>
      </c>
      <c r="L338" s="19">
        <v>0</v>
      </c>
      <c r="M338" s="19">
        <v>0</v>
      </c>
      <c r="N338" s="19">
        <v>0</v>
      </c>
      <c r="O338" s="19">
        <v>0</v>
      </c>
      <c r="P338" s="19">
        <v>-20.782</v>
      </c>
      <c r="Q338" s="19">
        <v>0</v>
      </c>
      <c r="R338" s="19">
        <v>0</v>
      </c>
    </row>
    <row r="339" ht="16.5" spans="1:18">
      <c r="A339" s="17">
        <v>399436</v>
      </c>
      <c r="B339" s="17" t="s">
        <v>817</v>
      </c>
      <c r="C339" s="17">
        <v>3636.06</v>
      </c>
      <c r="D339" s="17">
        <v>4349.219</v>
      </c>
      <c r="E339" s="17">
        <v>0</v>
      </c>
      <c r="F339" s="17">
        <v>0</v>
      </c>
      <c r="G339" s="17">
        <v>1</v>
      </c>
      <c r="H339" s="18">
        <v>0</v>
      </c>
      <c r="I339" s="18">
        <v>0</v>
      </c>
      <c r="J339" s="18">
        <v>0</v>
      </c>
      <c r="K339" s="19">
        <v>3</v>
      </c>
      <c r="L339" s="19">
        <v>0</v>
      </c>
      <c r="M339" s="19">
        <v>1</v>
      </c>
      <c r="N339" s="19">
        <v>-1</v>
      </c>
      <c r="O339" s="19">
        <v>0</v>
      </c>
      <c r="P339" s="19">
        <v>-14.093</v>
      </c>
      <c r="Q339" s="19">
        <v>0</v>
      </c>
      <c r="R339" s="19">
        <v>0</v>
      </c>
    </row>
    <row r="340" ht="16.5" spans="1:18">
      <c r="A340" s="17">
        <v>399437</v>
      </c>
      <c r="B340" s="17" t="s">
        <v>818</v>
      </c>
      <c r="C340" s="17">
        <v>5809.57</v>
      </c>
      <c r="D340" s="17">
        <v>7137.331</v>
      </c>
      <c r="E340" s="17">
        <v>0</v>
      </c>
      <c r="F340" s="17">
        <v>0</v>
      </c>
      <c r="G340" s="17">
        <v>1</v>
      </c>
      <c r="H340" s="18">
        <v>0</v>
      </c>
      <c r="I340" s="18">
        <v>0</v>
      </c>
      <c r="J340" s="18">
        <v>0</v>
      </c>
      <c r="K340" s="19">
        <v>2</v>
      </c>
      <c r="L340" s="19">
        <v>0</v>
      </c>
      <c r="M340" s="19">
        <v>1</v>
      </c>
      <c r="N340" s="19">
        <v>-1</v>
      </c>
      <c r="O340" s="19">
        <v>0</v>
      </c>
      <c r="P340" s="19">
        <v>-14.267</v>
      </c>
      <c r="Q340" s="19">
        <v>0</v>
      </c>
      <c r="R340" s="19">
        <v>0</v>
      </c>
    </row>
    <row r="341" ht="16.5" spans="1:18">
      <c r="A341" s="17">
        <v>399439</v>
      </c>
      <c r="B341" s="17" t="s">
        <v>819</v>
      </c>
      <c r="C341" s="17">
        <v>1608.875</v>
      </c>
      <c r="D341" s="17">
        <v>1777.142</v>
      </c>
      <c r="E341" s="17">
        <v>0</v>
      </c>
      <c r="F341" s="17">
        <v>0</v>
      </c>
      <c r="G341" s="17">
        <v>1</v>
      </c>
      <c r="H341" s="18">
        <v>0</v>
      </c>
      <c r="I341" s="18">
        <v>0</v>
      </c>
      <c r="J341" s="18">
        <v>0</v>
      </c>
      <c r="K341" s="19">
        <v>3</v>
      </c>
      <c r="L341" s="19">
        <v>2</v>
      </c>
      <c r="M341" s="19">
        <v>0</v>
      </c>
      <c r="N341" s="19">
        <v>0</v>
      </c>
      <c r="O341" s="19">
        <v>0</v>
      </c>
      <c r="P341" s="19">
        <v>-11.953</v>
      </c>
      <c r="Q341" s="19">
        <v>0</v>
      </c>
      <c r="R341" s="19">
        <v>0</v>
      </c>
    </row>
    <row r="342" ht="16.5" spans="1:18">
      <c r="A342" s="17">
        <v>399550</v>
      </c>
      <c r="B342" s="17" t="s">
        <v>820</v>
      </c>
      <c r="C342" s="17">
        <v>6945.08</v>
      </c>
      <c r="D342" s="17">
        <v>7558.71</v>
      </c>
      <c r="E342" s="17">
        <v>0</v>
      </c>
      <c r="F342" s="17">
        <v>0</v>
      </c>
      <c r="G342" s="17">
        <v>1</v>
      </c>
      <c r="H342" s="18">
        <v>0</v>
      </c>
      <c r="I342" s="18">
        <v>0</v>
      </c>
      <c r="J342" s="18">
        <v>0</v>
      </c>
      <c r="K342" s="19">
        <v>3</v>
      </c>
      <c r="L342" s="19">
        <v>0</v>
      </c>
      <c r="M342" s="19">
        <v>0</v>
      </c>
      <c r="N342" s="19">
        <v>0</v>
      </c>
      <c r="O342" s="19">
        <v>0</v>
      </c>
      <c r="P342" s="19">
        <v>-14.532</v>
      </c>
      <c r="Q342" s="19">
        <v>0</v>
      </c>
      <c r="R342" s="19">
        <v>0</v>
      </c>
    </row>
    <row r="343" ht="16.5" spans="1:18">
      <c r="A343" s="17">
        <v>399551</v>
      </c>
      <c r="B343" s="17" t="s">
        <v>821</v>
      </c>
      <c r="C343" s="17">
        <v>7279.634</v>
      </c>
      <c r="D343" s="17">
        <v>8764.057</v>
      </c>
      <c r="E343" s="17">
        <v>0</v>
      </c>
      <c r="F343" s="17">
        <v>0</v>
      </c>
      <c r="G343" s="17">
        <v>1</v>
      </c>
      <c r="H343" s="18">
        <v>0</v>
      </c>
      <c r="I343" s="18">
        <v>0</v>
      </c>
      <c r="J343" s="18">
        <v>0</v>
      </c>
      <c r="K343" s="19">
        <v>1</v>
      </c>
      <c r="L343" s="19">
        <v>2</v>
      </c>
      <c r="M343" s="19">
        <v>0</v>
      </c>
      <c r="N343" s="19">
        <v>0</v>
      </c>
      <c r="O343" s="19">
        <v>0</v>
      </c>
      <c r="P343" s="19">
        <v>0.005</v>
      </c>
      <c r="Q343" s="19">
        <v>0</v>
      </c>
      <c r="R343" s="19">
        <v>0</v>
      </c>
    </row>
    <row r="344" ht="16.5" spans="1:18">
      <c r="A344" s="17">
        <v>399552</v>
      </c>
      <c r="B344" s="17" t="s">
        <v>822</v>
      </c>
      <c r="C344" s="17">
        <v>7798.311</v>
      </c>
      <c r="D344" s="17">
        <v>8489.285</v>
      </c>
      <c r="E344" s="17">
        <v>0</v>
      </c>
      <c r="F344" s="17">
        <v>0</v>
      </c>
      <c r="G344" s="17">
        <v>1</v>
      </c>
      <c r="H344" s="18">
        <v>0</v>
      </c>
      <c r="I344" s="18">
        <v>0</v>
      </c>
      <c r="J344" s="18">
        <v>0</v>
      </c>
      <c r="K344" s="19">
        <v>1</v>
      </c>
      <c r="L344" s="19">
        <v>2</v>
      </c>
      <c r="M344" s="19">
        <v>0</v>
      </c>
      <c r="N344" s="19">
        <v>0</v>
      </c>
      <c r="O344" s="19">
        <v>0</v>
      </c>
      <c r="P344" s="19">
        <v>-0.528</v>
      </c>
      <c r="Q344" s="19">
        <v>0</v>
      </c>
      <c r="R344" s="19">
        <v>0</v>
      </c>
    </row>
    <row r="345" ht="16.5" spans="1:18">
      <c r="A345" s="17">
        <v>399553</v>
      </c>
      <c r="B345" s="17" t="s">
        <v>823</v>
      </c>
      <c r="C345" s="17">
        <v>6573.582</v>
      </c>
      <c r="D345" s="17">
        <v>7207.204</v>
      </c>
      <c r="E345" s="17">
        <v>0</v>
      </c>
      <c r="F345" s="17">
        <v>0</v>
      </c>
      <c r="G345" s="17">
        <v>1</v>
      </c>
      <c r="H345" s="18">
        <v>0</v>
      </c>
      <c r="I345" s="18">
        <v>0</v>
      </c>
      <c r="J345" s="18">
        <v>0</v>
      </c>
      <c r="K345" s="19">
        <v>3</v>
      </c>
      <c r="L345" s="19">
        <v>0</v>
      </c>
      <c r="M345" s="19">
        <v>0</v>
      </c>
      <c r="N345" s="19">
        <v>0</v>
      </c>
      <c r="O345" s="19">
        <v>0</v>
      </c>
      <c r="P345" s="19">
        <v>-39.688</v>
      </c>
      <c r="Q345" s="19">
        <v>-1</v>
      </c>
      <c r="R345" s="19">
        <v>0</v>
      </c>
    </row>
    <row r="346" ht="16.5" spans="1:18">
      <c r="A346" s="17">
        <v>399554</v>
      </c>
      <c r="B346" s="17" t="s">
        <v>824</v>
      </c>
      <c r="C346" s="17">
        <v>6755.885</v>
      </c>
      <c r="D346" s="17">
        <v>7378.67</v>
      </c>
      <c r="E346" s="17">
        <v>0</v>
      </c>
      <c r="F346" s="17">
        <v>0</v>
      </c>
      <c r="G346" s="17">
        <v>1</v>
      </c>
      <c r="H346" s="18">
        <v>0</v>
      </c>
      <c r="I346" s="18">
        <v>0</v>
      </c>
      <c r="J346" s="18">
        <v>0</v>
      </c>
      <c r="K346" s="19">
        <v>3</v>
      </c>
      <c r="L346" s="19">
        <v>0</v>
      </c>
      <c r="M346" s="19">
        <v>0</v>
      </c>
      <c r="N346" s="19">
        <v>0</v>
      </c>
      <c r="O346" s="19">
        <v>0</v>
      </c>
      <c r="P346" s="19">
        <v>-6.012</v>
      </c>
      <c r="Q346" s="19">
        <v>0</v>
      </c>
      <c r="R346" s="19">
        <v>0</v>
      </c>
    </row>
    <row r="347" ht="16.5" spans="1:18">
      <c r="A347" s="17">
        <v>399555</v>
      </c>
      <c r="B347" s="17" t="s">
        <v>825</v>
      </c>
      <c r="C347" s="17">
        <v>4863.366</v>
      </c>
      <c r="D347" s="17">
        <v>5280.546</v>
      </c>
      <c r="E347" s="17">
        <v>0</v>
      </c>
      <c r="F347" s="17">
        <v>0</v>
      </c>
      <c r="G347" s="17">
        <v>1</v>
      </c>
      <c r="H347" s="18">
        <v>0</v>
      </c>
      <c r="I347" s="18">
        <v>0</v>
      </c>
      <c r="J347" s="18">
        <v>0</v>
      </c>
      <c r="K347" s="19">
        <v>2</v>
      </c>
      <c r="L347" s="19">
        <v>1</v>
      </c>
      <c r="M347" s="19">
        <v>1</v>
      </c>
      <c r="N347" s="19">
        <v>-1</v>
      </c>
      <c r="O347" s="19">
        <v>0</v>
      </c>
      <c r="P347" s="19">
        <v>-27.011</v>
      </c>
      <c r="Q347" s="19">
        <v>0</v>
      </c>
      <c r="R347" s="19">
        <v>0</v>
      </c>
    </row>
    <row r="348" ht="16.5" spans="1:18">
      <c r="A348" s="17">
        <v>399556</v>
      </c>
      <c r="B348" s="17" t="s">
        <v>826</v>
      </c>
      <c r="C348" s="17">
        <v>2232.381</v>
      </c>
      <c r="D348" s="17">
        <v>2509.918</v>
      </c>
      <c r="E348" s="17">
        <v>0</v>
      </c>
      <c r="F348" s="17">
        <v>0</v>
      </c>
      <c r="G348" s="17">
        <v>1</v>
      </c>
      <c r="H348" s="18">
        <v>0</v>
      </c>
      <c r="I348" s="18">
        <v>0</v>
      </c>
      <c r="J348" s="18">
        <v>0</v>
      </c>
      <c r="K348" s="19">
        <v>2</v>
      </c>
      <c r="L348" s="19">
        <v>2</v>
      </c>
      <c r="M348" s="19">
        <v>1</v>
      </c>
      <c r="N348" s="19">
        <v>-1</v>
      </c>
      <c r="O348" s="19">
        <v>0</v>
      </c>
      <c r="P348" s="19">
        <v>-11.726</v>
      </c>
      <c r="Q348" s="19">
        <v>0</v>
      </c>
      <c r="R348" s="19">
        <v>0</v>
      </c>
    </row>
    <row r="349" ht="16.5" spans="1:18">
      <c r="A349" s="17">
        <v>399606</v>
      </c>
      <c r="B349" s="17" t="s">
        <v>827</v>
      </c>
      <c r="C349" s="17">
        <v>2133.883</v>
      </c>
      <c r="D349" s="17">
        <v>2574.845</v>
      </c>
      <c r="E349" s="17">
        <v>0</v>
      </c>
      <c r="F349" s="17">
        <v>0</v>
      </c>
      <c r="G349" s="17">
        <v>1</v>
      </c>
      <c r="H349" s="18">
        <v>0</v>
      </c>
      <c r="I349" s="18">
        <v>0</v>
      </c>
      <c r="J349" s="18">
        <v>0</v>
      </c>
      <c r="K349" s="19">
        <v>2</v>
      </c>
      <c r="L349" s="19">
        <v>1</v>
      </c>
      <c r="M349" s="19">
        <v>1</v>
      </c>
      <c r="N349" s="19">
        <v>-1</v>
      </c>
      <c r="O349" s="19">
        <v>0</v>
      </c>
      <c r="P349" s="19">
        <v>-25.758</v>
      </c>
      <c r="Q349" s="19">
        <v>0</v>
      </c>
      <c r="R349" s="19">
        <v>0</v>
      </c>
    </row>
    <row r="350" ht="16.5" spans="1:18">
      <c r="A350" s="17">
        <v>399608</v>
      </c>
      <c r="B350" s="17" t="s">
        <v>473</v>
      </c>
      <c r="C350" s="17">
        <v>2771.14</v>
      </c>
      <c r="D350" s="17">
        <v>3310.607</v>
      </c>
      <c r="E350" s="17">
        <v>0</v>
      </c>
      <c r="F350" s="17">
        <v>0</v>
      </c>
      <c r="G350" s="17">
        <v>1</v>
      </c>
      <c r="H350" s="18">
        <v>0</v>
      </c>
      <c r="I350" s="18">
        <v>0</v>
      </c>
      <c r="J350" s="18">
        <v>0</v>
      </c>
      <c r="K350" s="19">
        <v>1</v>
      </c>
      <c r="L350" s="19">
        <v>0</v>
      </c>
      <c r="M350" s="19">
        <v>1</v>
      </c>
      <c r="N350" s="19">
        <v>-1</v>
      </c>
      <c r="O350" s="19">
        <v>0</v>
      </c>
      <c r="P350" s="19">
        <v>-26.646</v>
      </c>
      <c r="Q350" s="19">
        <v>0</v>
      </c>
      <c r="R350" s="19">
        <v>0</v>
      </c>
    </row>
    <row r="351" ht="16.5" spans="1:18">
      <c r="A351" s="17">
        <v>399610</v>
      </c>
      <c r="B351" s="17" t="s">
        <v>828</v>
      </c>
      <c r="C351" s="17">
        <v>5636.465</v>
      </c>
      <c r="D351" s="17">
        <v>6725.994</v>
      </c>
      <c r="E351" s="17">
        <v>0</v>
      </c>
      <c r="F351" s="17">
        <v>0</v>
      </c>
      <c r="G351" s="17">
        <v>1</v>
      </c>
      <c r="H351" s="18">
        <v>0</v>
      </c>
      <c r="I351" s="18">
        <v>0</v>
      </c>
      <c r="J351" s="18">
        <v>0</v>
      </c>
      <c r="K351" s="19">
        <v>4</v>
      </c>
      <c r="L351" s="19">
        <v>0</v>
      </c>
      <c r="M351" s="19">
        <v>0</v>
      </c>
      <c r="N351" s="19">
        <v>0</v>
      </c>
      <c r="O351" s="19">
        <v>0</v>
      </c>
      <c r="P351" s="19">
        <v>-32.814</v>
      </c>
      <c r="Q351" s="19">
        <v>0</v>
      </c>
      <c r="R351" s="19">
        <v>0</v>
      </c>
    </row>
    <row r="352" ht="16.5" spans="1:18">
      <c r="A352" s="17">
        <v>399611</v>
      </c>
      <c r="B352" s="17" t="s">
        <v>829</v>
      </c>
      <c r="C352" s="17">
        <v>2104.985</v>
      </c>
      <c r="D352" s="17">
        <v>2466.529</v>
      </c>
      <c r="E352" s="17">
        <v>0</v>
      </c>
      <c r="F352" s="17">
        <v>0</v>
      </c>
      <c r="G352" s="17">
        <v>1</v>
      </c>
      <c r="H352" s="18">
        <v>0</v>
      </c>
      <c r="I352" s="18">
        <v>0</v>
      </c>
      <c r="J352" s="18">
        <v>0</v>
      </c>
      <c r="K352" s="19">
        <v>3</v>
      </c>
      <c r="L352" s="19">
        <v>0</v>
      </c>
      <c r="M352" s="19">
        <v>0</v>
      </c>
      <c r="N352" s="19">
        <v>1</v>
      </c>
      <c r="O352" s="19">
        <v>0</v>
      </c>
      <c r="P352" s="19">
        <v>0.011</v>
      </c>
      <c r="Q352" s="19">
        <v>0</v>
      </c>
      <c r="R352" s="19">
        <v>0</v>
      </c>
    </row>
    <row r="353" ht="16.5" spans="1:18">
      <c r="A353" s="17">
        <v>399612</v>
      </c>
      <c r="B353" s="17" t="s">
        <v>830</v>
      </c>
      <c r="C353" s="17">
        <v>1810.91</v>
      </c>
      <c r="D353" s="17">
        <v>2122.152</v>
      </c>
      <c r="E353" s="17">
        <v>0</v>
      </c>
      <c r="F353" s="17">
        <v>0</v>
      </c>
      <c r="G353" s="17">
        <v>1</v>
      </c>
      <c r="H353" s="18">
        <v>0</v>
      </c>
      <c r="I353" s="18">
        <v>0</v>
      </c>
      <c r="J353" s="18">
        <v>0</v>
      </c>
      <c r="K353" s="19">
        <v>1</v>
      </c>
      <c r="L353" s="19">
        <v>2</v>
      </c>
      <c r="M353" s="19">
        <v>-1</v>
      </c>
      <c r="N353" s="19">
        <v>1</v>
      </c>
      <c r="O353" s="19">
        <v>0</v>
      </c>
      <c r="P353" s="19">
        <v>0.004</v>
      </c>
      <c r="Q353" s="19">
        <v>0</v>
      </c>
      <c r="R353" s="19">
        <v>0</v>
      </c>
    </row>
    <row r="354" ht="16.5" spans="1:18">
      <c r="A354" s="17">
        <v>399613</v>
      </c>
      <c r="B354" s="17" t="s">
        <v>831</v>
      </c>
      <c r="C354" s="17">
        <v>2780.315</v>
      </c>
      <c r="D354" s="17">
        <v>3131.28</v>
      </c>
      <c r="E354" s="17">
        <v>0</v>
      </c>
      <c r="F354" s="17">
        <v>0</v>
      </c>
      <c r="G354" s="17">
        <v>1</v>
      </c>
      <c r="H354" s="18">
        <v>0</v>
      </c>
      <c r="I354" s="18">
        <v>0</v>
      </c>
      <c r="J354" s="18">
        <v>0</v>
      </c>
      <c r="K354" s="19">
        <v>3</v>
      </c>
      <c r="L354" s="19">
        <v>0</v>
      </c>
      <c r="M354" s="19">
        <v>0</v>
      </c>
      <c r="N354" s="19">
        <v>0</v>
      </c>
      <c r="O354" s="19">
        <v>0</v>
      </c>
      <c r="P354" s="19">
        <v>-8.29</v>
      </c>
      <c r="Q354" s="19">
        <v>0</v>
      </c>
      <c r="R354" s="19">
        <v>0</v>
      </c>
    </row>
    <row r="355" ht="16.5" spans="1:18">
      <c r="A355" s="17">
        <v>399614</v>
      </c>
      <c r="B355" s="17" t="s">
        <v>832</v>
      </c>
      <c r="C355" s="17">
        <v>2342.494</v>
      </c>
      <c r="D355" s="17">
        <v>2695.022</v>
      </c>
      <c r="E355" s="17">
        <v>0</v>
      </c>
      <c r="F355" s="17">
        <v>0</v>
      </c>
      <c r="G355" s="17">
        <v>1</v>
      </c>
      <c r="H355" s="18">
        <v>0</v>
      </c>
      <c r="I355" s="18">
        <v>0</v>
      </c>
      <c r="J355" s="18">
        <v>0</v>
      </c>
      <c r="K355" s="19">
        <v>3</v>
      </c>
      <c r="L355" s="19">
        <v>0</v>
      </c>
      <c r="M355" s="19">
        <v>0</v>
      </c>
      <c r="N355" s="19">
        <v>1</v>
      </c>
      <c r="O355" s="19">
        <v>0</v>
      </c>
      <c r="P355" s="19">
        <v>0.011</v>
      </c>
      <c r="Q355" s="19">
        <v>0</v>
      </c>
      <c r="R355" s="19">
        <v>0</v>
      </c>
    </row>
    <row r="356" ht="16.5" spans="1:18">
      <c r="A356" s="17">
        <v>399615</v>
      </c>
      <c r="B356" s="17" t="s">
        <v>833</v>
      </c>
      <c r="C356" s="17">
        <v>2849.399</v>
      </c>
      <c r="D356" s="17">
        <v>3317.896</v>
      </c>
      <c r="E356" s="17">
        <v>0</v>
      </c>
      <c r="F356" s="17">
        <v>0</v>
      </c>
      <c r="G356" s="17">
        <v>1</v>
      </c>
      <c r="H356" s="18">
        <v>0</v>
      </c>
      <c r="I356" s="18">
        <v>0</v>
      </c>
      <c r="J356" s="18">
        <v>0</v>
      </c>
      <c r="K356" s="19">
        <v>2</v>
      </c>
      <c r="L356" s="19">
        <v>0</v>
      </c>
      <c r="M356" s="19">
        <v>0</v>
      </c>
      <c r="N356" s="19">
        <v>1</v>
      </c>
      <c r="O356" s="19">
        <v>0</v>
      </c>
      <c r="P356" s="19">
        <v>0.023</v>
      </c>
      <c r="Q356" s="19">
        <v>0</v>
      </c>
      <c r="R356" s="19">
        <v>0</v>
      </c>
    </row>
    <row r="357" ht="16.5" spans="1:18">
      <c r="A357" s="17">
        <v>399618</v>
      </c>
      <c r="B357" s="17" t="s">
        <v>834</v>
      </c>
      <c r="C357" s="17">
        <v>7631.06</v>
      </c>
      <c r="D357" s="17">
        <v>8992.822</v>
      </c>
      <c r="E357" s="17">
        <v>0</v>
      </c>
      <c r="F357" s="17">
        <v>0</v>
      </c>
      <c r="G357" s="17">
        <v>1</v>
      </c>
      <c r="H357" s="18">
        <v>0</v>
      </c>
      <c r="I357" s="18">
        <v>0</v>
      </c>
      <c r="J357" s="18">
        <v>0</v>
      </c>
      <c r="K357" s="19">
        <v>3</v>
      </c>
      <c r="L357" s="19">
        <v>0</v>
      </c>
      <c r="M357" s="19">
        <v>0</v>
      </c>
      <c r="N357" s="19">
        <v>0</v>
      </c>
      <c r="O357" s="19">
        <v>0</v>
      </c>
      <c r="P357" s="19">
        <v>-51.527</v>
      </c>
      <c r="Q357" s="19">
        <v>0</v>
      </c>
      <c r="R357" s="19">
        <v>0</v>
      </c>
    </row>
    <row r="358" ht="16.5" spans="1:18">
      <c r="A358" s="17">
        <v>399619</v>
      </c>
      <c r="B358" s="17" t="s">
        <v>835</v>
      </c>
      <c r="C358" s="17">
        <v>6229.332</v>
      </c>
      <c r="D358" s="17">
        <v>7337.839</v>
      </c>
      <c r="E358" s="17">
        <v>0</v>
      </c>
      <c r="F358" s="17">
        <v>0</v>
      </c>
      <c r="G358" s="17">
        <v>1</v>
      </c>
      <c r="H358" s="18">
        <v>0</v>
      </c>
      <c r="I358" s="18">
        <v>0</v>
      </c>
      <c r="J358" s="18">
        <v>0</v>
      </c>
      <c r="K358" s="19">
        <v>3</v>
      </c>
      <c r="L358" s="19">
        <v>2</v>
      </c>
      <c r="M358" s="19">
        <v>0</v>
      </c>
      <c r="N358" s="19">
        <v>0</v>
      </c>
      <c r="O358" s="19">
        <v>0</v>
      </c>
      <c r="P358" s="19">
        <v>-5.835</v>
      </c>
      <c r="Q358" s="19">
        <v>0</v>
      </c>
      <c r="R358" s="19">
        <v>0</v>
      </c>
    </row>
    <row r="359" ht="16.5" spans="1:18">
      <c r="A359" s="17">
        <v>399620</v>
      </c>
      <c r="B359" s="17" t="s">
        <v>836</v>
      </c>
      <c r="C359" s="17">
        <v>3857.333</v>
      </c>
      <c r="D359" s="17">
        <v>4780.808</v>
      </c>
      <c r="E359" s="17">
        <v>0</v>
      </c>
      <c r="F359" s="17">
        <v>0</v>
      </c>
      <c r="G359" s="17">
        <v>1</v>
      </c>
      <c r="H359" s="18">
        <v>0</v>
      </c>
      <c r="I359" s="18">
        <v>0</v>
      </c>
      <c r="J359" s="18">
        <v>0</v>
      </c>
      <c r="K359" s="19">
        <v>3</v>
      </c>
      <c r="L359" s="19">
        <v>1</v>
      </c>
      <c r="M359" s="19">
        <v>0</v>
      </c>
      <c r="N359" s="19">
        <v>0</v>
      </c>
      <c r="O359" s="19">
        <v>0</v>
      </c>
      <c r="P359" s="19">
        <v>-1.148</v>
      </c>
      <c r="Q359" s="19">
        <v>0</v>
      </c>
      <c r="R359" s="19">
        <v>0</v>
      </c>
    </row>
    <row r="360" ht="16.5" spans="1:18">
      <c r="A360" s="17">
        <v>399621</v>
      </c>
      <c r="B360" s="17" t="s">
        <v>837</v>
      </c>
      <c r="C360" s="17">
        <v>4610.008</v>
      </c>
      <c r="D360" s="17">
        <v>5648.183</v>
      </c>
      <c r="E360" s="17">
        <v>0</v>
      </c>
      <c r="F360" s="17">
        <v>0</v>
      </c>
      <c r="G360" s="17">
        <v>1</v>
      </c>
      <c r="H360" s="18">
        <v>0</v>
      </c>
      <c r="I360" s="18">
        <v>0</v>
      </c>
      <c r="J360" s="18">
        <v>0</v>
      </c>
      <c r="K360" s="19">
        <v>2</v>
      </c>
      <c r="L360" s="19">
        <v>0</v>
      </c>
      <c r="M360" s="19">
        <v>0</v>
      </c>
      <c r="N360" s="19">
        <v>-1</v>
      </c>
      <c r="O360" s="19">
        <v>0</v>
      </c>
      <c r="P360" s="19">
        <v>-14.479</v>
      </c>
      <c r="Q360" s="19">
        <v>0</v>
      </c>
      <c r="R360" s="19">
        <v>0</v>
      </c>
    </row>
    <row r="361" ht="16.5" spans="1:18">
      <c r="A361" s="17">
        <v>399622</v>
      </c>
      <c r="B361" s="17" t="s">
        <v>838</v>
      </c>
      <c r="C361" s="17">
        <v>1512.008</v>
      </c>
      <c r="D361" s="17">
        <v>1742.297</v>
      </c>
      <c r="E361" s="17">
        <v>0</v>
      </c>
      <c r="F361" s="17">
        <v>0</v>
      </c>
      <c r="G361" s="17">
        <v>1</v>
      </c>
      <c r="H361" s="18">
        <v>0</v>
      </c>
      <c r="I361" s="18">
        <v>0</v>
      </c>
      <c r="J361" s="18">
        <v>0</v>
      </c>
      <c r="K361" s="19">
        <v>3</v>
      </c>
      <c r="L361" s="19">
        <v>0</v>
      </c>
      <c r="M361" s="19">
        <v>0</v>
      </c>
      <c r="N361" s="19">
        <v>0</v>
      </c>
      <c r="O361" s="19">
        <v>0</v>
      </c>
      <c r="P361" s="19">
        <v>-11.773</v>
      </c>
      <c r="Q361" s="19">
        <v>0</v>
      </c>
      <c r="R361" s="19">
        <v>0</v>
      </c>
    </row>
    <row r="362" ht="16.5" spans="1:18">
      <c r="A362" s="17">
        <v>399623</v>
      </c>
      <c r="B362" s="17" t="s">
        <v>839</v>
      </c>
      <c r="C362" s="17">
        <v>6544.275</v>
      </c>
      <c r="D362" s="17">
        <v>7613.445</v>
      </c>
      <c r="E362" s="17">
        <v>0</v>
      </c>
      <c r="F362" s="17">
        <v>0</v>
      </c>
      <c r="G362" s="17">
        <v>1</v>
      </c>
      <c r="H362" s="18">
        <v>0</v>
      </c>
      <c r="I362" s="18">
        <v>0</v>
      </c>
      <c r="J362" s="18">
        <v>0</v>
      </c>
      <c r="K362" s="19">
        <v>3</v>
      </c>
      <c r="L362" s="19">
        <v>0</v>
      </c>
      <c r="M362" s="19">
        <v>0</v>
      </c>
      <c r="N362" s="19">
        <v>0</v>
      </c>
      <c r="O362" s="19">
        <v>0</v>
      </c>
      <c r="P362" s="19">
        <v>-10.201</v>
      </c>
      <c r="Q362" s="19">
        <v>0</v>
      </c>
      <c r="R362" s="19">
        <v>0</v>
      </c>
    </row>
    <row r="363" ht="16.5" spans="1:18">
      <c r="A363" s="17">
        <v>399624</v>
      </c>
      <c r="B363" s="17" t="s">
        <v>840</v>
      </c>
      <c r="C363" s="17">
        <v>1790.346</v>
      </c>
      <c r="D363" s="17">
        <v>2181.793</v>
      </c>
      <c r="E363" s="17">
        <v>0</v>
      </c>
      <c r="F363" s="17">
        <v>0</v>
      </c>
      <c r="G363" s="17">
        <v>1</v>
      </c>
      <c r="H363" s="18">
        <v>0</v>
      </c>
      <c r="I363" s="18">
        <v>0</v>
      </c>
      <c r="J363" s="18">
        <v>0</v>
      </c>
      <c r="K363" s="19">
        <v>3</v>
      </c>
      <c r="L363" s="19">
        <v>0</v>
      </c>
      <c r="M363" s="19">
        <v>0</v>
      </c>
      <c r="N363" s="19">
        <v>0</v>
      </c>
      <c r="O363" s="19">
        <v>0</v>
      </c>
      <c r="P363" s="19">
        <v>-9.052</v>
      </c>
      <c r="Q363" s="19">
        <v>0</v>
      </c>
      <c r="R363" s="19">
        <v>0</v>
      </c>
    </row>
    <row r="364" ht="16.5" spans="1:18">
      <c r="A364" s="17">
        <v>399625</v>
      </c>
      <c r="B364" s="17" t="s">
        <v>841</v>
      </c>
      <c r="C364" s="17">
        <v>1640.682</v>
      </c>
      <c r="D364" s="17">
        <v>1948.697</v>
      </c>
      <c r="E364" s="17">
        <v>0</v>
      </c>
      <c r="F364" s="17">
        <v>0</v>
      </c>
      <c r="G364" s="17">
        <v>1</v>
      </c>
      <c r="H364" s="18">
        <v>0</v>
      </c>
      <c r="I364" s="18">
        <v>0</v>
      </c>
      <c r="J364" s="18">
        <v>0</v>
      </c>
      <c r="K364" s="19">
        <v>3</v>
      </c>
      <c r="L364" s="19">
        <v>0</v>
      </c>
      <c r="M364" s="19">
        <v>0</v>
      </c>
      <c r="N364" s="19">
        <v>0</v>
      </c>
      <c r="O364" s="19">
        <v>0</v>
      </c>
      <c r="P364" s="19">
        <v>-8.635</v>
      </c>
      <c r="Q364" s="19">
        <v>0</v>
      </c>
      <c r="R364" s="19">
        <v>0</v>
      </c>
    </row>
    <row r="365" ht="16.5" spans="1:18">
      <c r="A365" s="17">
        <v>399626</v>
      </c>
      <c r="B365" s="17" t="s">
        <v>842</v>
      </c>
      <c r="C365" s="17">
        <v>1295.166</v>
      </c>
      <c r="D365" s="17">
        <v>1545.82</v>
      </c>
      <c r="E365" s="17">
        <v>0</v>
      </c>
      <c r="F365" s="17">
        <v>0</v>
      </c>
      <c r="G365" s="17">
        <v>1</v>
      </c>
      <c r="H365" s="18">
        <v>0</v>
      </c>
      <c r="I365" s="18">
        <v>0</v>
      </c>
      <c r="J365" s="18">
        <v>0</v>
      </c>
      <c r="K365" s="19">
        <v>3</v>
      </c>
      <c r="L365" s="19">
        <v>0</v>
      </c>
      <c r="M365" s="19">
        <v>0</v>
      </c>
      <c r="N365" s="19">
        <v>0</v>
      </c>
      <c r="O365" s="19">
        <v>0</v>
      </c>
      <c r="P365" s="19">
        <v>-14.337</v>
      </c>
      <c r="Q365" s="19">
        <v>0</v>
      </c>
      <c r="R365" s="19">
        <v>0</v>
      </c>
    </row>
    <row r="366" ht="16.5" spans="1:19">
      <c r="A366" s="17">
        <v>399627</v>
      </c>
      <c r="B366" s="17" t="s">
        <v>843</v>
      </c>
      <c r="C366" s="17">
        <v>1966.997</v>
      </c>
      <c r="D366" s="17">
        <v>2262.541</v>
      </c>
      <c r="E366" s="17">
        <v>0</v>
      </c>
      <c r="F366" s="17">
        <v>0</v>
      </c>
      <c r="G366" s="17">
        <v>1</v>
      </c>
      <c r="H366" s="18">
        <v>0</v>
      </c>
      <c r="I366" s="18">
        <v>0</v>
      </c>
      <c r="J366" s="18">
        <v>0</v>
      </c>
      <c r="K366" s="19">
        <v>3</v>
      </c>
      <c r="L366" s="19">
        <v>0</v>
      </c>
      <c r="M366" s="19">
        <v>0</v>
      </c>
      <c r="N366" s="19">
        <v>0</v>
      </c>
      <c r="O366" s="19">
        <v>0</v>
      </c>
      <c r="P366" s="19">
        <v>-22.538</v>
      </c>
      <c r="Q366" s="19">
        <v>0</v>
      </c>
      <c r="R366" s="19">
        <v>0</v>
      </c>
      <c r="S366" s="20"/>
    </row>
    <row r="367" ht="16.5" spans="1:19">
      <c r="A367" s="17">
        <v>399628</v>
      </c>
      <c r="B367" s="17" t="s">
        <v>844</v>
      </c>
      <c r="C367" s="17">
        <v>1690.202</v>
      </c>
      <c r="D367" s="17">
        <v>2011.298</v>
      </c>
      <c r="E367" s="17">
        <v>0</v>
      </c>
      <c r="F367" s="17">
        <v>0</v>
      </c>
      <c r="G367" s="17">
        <v>1</v>
      </c>
      <c r="H367" s="18">
        <v>0</v>
      </c>
      <c r="I367" s="18">
        <v>0</v>
      </c>
      <c r="J367" s="18">
        <v>0</v>
      </c>
      <c r="K367" s="19">
        <v>3</v>
      </c>
      <c r="L367" s="19">
        <v>0</v>
      </c>
      <c r="M367" s="19">
        <v>0</v>
      </c>
      <c r="N367" s="19">
        <v>0</v>
      </c>
      <c r="O367" s="19">
        <v>0</v>
      </c>
      <c r="P367" s="19">
        <v>-21.772</v>
      </c>
      <c r="Q367" s="19">
        <v>0</v>
      </c>
      <c r="R367" s="19">
        <v>0</v>
      </c>
      <c r="S367" s="20"/>
    </row>
    <row r="368" ht="16.5" spans="1:19">
      <c r="A368" s="17">
        <v>399629</v>
      </c>
      <c r="B368" s="17" t="s">
        <v>845</v>
      </c>
      <c r="C368" s="17">
        <v>2314.472</v>
      </c>
      <c r="D368" s="17">
        <v>2729.051</v>
      </c>
      <c r="E368" s="17">
        <v>0</v>
      </c>
      <c r="F368" s="17">
        <v>0</v>
      </c>
      <c r="G368" s="17">
        <v>1</v>
      </c>
      <c r="H368" s="18">
        <v>0</v>
      </c>
      <c r="I368" s="18">
        <v>0</v>
      </c>
      <c r="J368" s="18">
        <v>0</v>
      </c>
      <c r="K368" s="19">
        <v>2</v>
      </c>
      <c r="L368" s="19">
        <v>0</v>
      </c>
      <c r="M368" s="19">
        <v>0</v>
      </c>
      <c r="N368" s="19">
        <v>0</v>
      </c>
      <c r="O368" s="19">
        <v>0</v>
      </c>
      <c r="P368" s="19">
        <v>-26.404</v>
      </c>
      <c r="Q368" s="19">
        <v>0</v>
      </c>
      <c r="R368" s="19">
        <v>0</v>
      </c>
      <c r="S368" s="20"/>
    </row>
    <row r="369" ht="16.5" spans="1:19">
      <c r="A369" s="17">
        <v>399630</v>
      </c>
      <c r="B369" s="17" t="s">
        <v>846</v>
      </c>
      <c r="C369" s="17">
        <v>1178.745</v>
      </c>
      <c r="D369" s="17">
        <v>1383.884</v>
      </c>
      <c r="E369" s="17">
        <v>0</v>
      </c>
      <c r="F369" s="17">
        <v>0</v>
      </c>
      <c r="G369" s="17">
        <v>1</v>
      </c>
      <c r="H369" s="18">
        <v>0</v>
      </c>
      <c r="I369" s="18">
        <v>0</v>
      </c>
      <c r="J369" s="18">
        <v>0</v>
      </c>
      <c r="K369" s="19">
        <v>1</v>
      </c>
      <c r="L369" s="19">
        <v>0</v>
      </c>
      <c r="M369" s="19">
        <v>0</v>
      </c>
      <c r="N369" s="19">
        <v>-1</v>
      </c>
      <c r="O369" s="19">
        <v>0</v>
      </c>
      <c r="P369" s="19">
        <v>-5.671</v>
      </c>
      <c r="Q369" s="19">
        <v>0</v>
      </c>
      <c r="R369" s="19">
        <v>0</v>
      </c>
      <c r="S369" s="20"/>
    </row>
    <row r="370" ht="16.5" spans="1:19">
      <c r="A370" s="17">
        <v>399631</v>
      </c>
      <c r="B370" s="17" t="s">
        <v>847</v>
      </c>
      <c r="C370" s="17">
        <v>1925.652</v>
      </c>
      <c r="D370" s="17">
        <v>2141.042</v>
      </c>
      <c r="E370" s="17">
        <v>0</v>
      </c>
      <c r="F370" s="17">
        <v>0</v>
      </c>
      <c r="G370" s="17">
        <v>1</v>
      </c>
      <c r="H370" s="18">
        <v>0</v>
      </c>
      <c r="I370" s="18">
        <v>0</v>
      </c>
      <c r="J370" s="18">
        <v>0</v>
      </c>
      <c r="K370" s="19">
        <v>4</v>
      </c>
      <c r="L370" s="19">
        <v>0</v>
      </c>
      <c r="M370" s="19">
        <v>0</v>
      </c>
      <c r="N370" s="19">
        <v>1</v>
      </c>
      <c r="O370" s="19">
        <v>0</v>
      </c>
      <c r="P370" s="19">
        <v>-2.616</v>
      </c>
      <c r="Q370" s="19">
        <v>0</v>
      </c>
      <c r="R370" s="19">
        <v>0</v>
      </c>
      <c r="S370" s="20"/>
    </row>
    <row r="371" ht="16.5" spans="1:19">
      <c r="A371" s="17">
        <v>399632</v>
      </c>
      <c r="B371" s="17" t="s">
        <v>848</v>
      </c>
      <c r="C371" s="17">
        <v>3994.887</v>
      </c>
      <c r="D371" s="17">
        <v>4576.983</v>
      </c>
      <c r="E371" s="17">
        <v>0</v>
      </c>
      <c r="F371" s="17">
        <v>0</v>
      </c>
      <c r="G371" s="17">
        <v>1</v>
      </c>
      <c r="H371" s="18">
        <v>0</v>
      </c>
      <c r="I371" s="18">
        <v>0</v>
      </c>
      <c r="J371" s="18">
        <v>0</v>
      </c>
      <c r="K371" s="19">
        <v>4</v>
      </c>
      <c r="L371" s="19">
        <v>0</v>
      </c>
      <c r="M371" s="19">
        <v>0</v>
      </c>
      <c r="N371" s="19">
        <v>0</v>
      </c>
      <c r="O371" s="19">
        <v>0</v>
      </c>
      <c r="P371" s="19">
        <v>-8.856</v>
      </c>
      <c r="Q371" s="19">
        <v>0</v>
      </c>
      <c r="R371" s="19">
        <v>1</v>
      </c>
      <c r="S371" s="20"/>
    </row>
    <row r="372" ht="16.5" spans="1:19">
      <c r="A372" s="17">
        <v>399633</v>
      </c>
      <c r="B372" s="17" t="s">
        <v>849</v>
      </c>
      <c r="C372" s="17">
        <v>4452.527</v>
      </c>
      <c r="D372" s="17">
        <v>5181.452</v>
      </c>
      <c r="E372" s="17">
        <v>0</v>
      </c>
      <c r="F372" s="17">
        <v>0</v>
      </c>
      <c r="G372" s="17">
        <v>1</v>
      </c>
      <c r="H372" s="18">
        <v>0</v>
      </c>
      <c r="I372" s="18">
        <v>0</v>
      </c>
      <c r="J372" s="18">
        <v>0</v>
      </c>
      <c r="K372" s="19">
        <v>3</v>
      </c>
      <c r="L372" s="19">
        <v>0</v>
      </c>
      <c r="M372" s="19">
        <v>0</v>
      </c>
      <c r="N372" s="19">
        <v>0</v>
      </c>
      <c r="O372" s="19">
        <v>0</v>
      </c>
      <c r="P372" s="19">
        <v>-15.027</v>
      </c>
      <c r="Q372" s="19">
        <v>0</v>
      </c>
      <c r="R372" s="19">
        <v>0</v>
      </c>
      <c r="S372" s="20"/>
    </row>
    <row r="373" ht="16.5" spans="1:19">
      <c r="A373" s="17">
        <v>399634</v>
      </c>
      <c r="B373" s="17" t="s">
        <v>850</v>
      </c>
      <c r="C373" s="17">
        <v>3039.662</v>
      </c>
      <c r="D373" s="17">
        <v>3504.012</v>
      </c>
      <c r="E373" s="17">
        <v>0</v>
      </c>
      <c r="F373" s="17">
        <v>0</v>
      </c>
      <c r="G373" s="17">
        <v>1</v>
      </c>
      <c r="H373" s="18">
        <v>0</v>
      </c>
      <c r="I373" s="18">
        <v>0</v>
      </c>
      <c r="J373" s="18">
        <v>0</v>
      </c>
      <c r="K373" s="19">
        <v>0</v>
      </c>
      <c r="L373" s="19">
        <v>0</v>
      </c>
      <c r="M373" s="19">
        <v>0</v>
      </c>
      <c r="N373" s="19">
        <v>0</v>
      </c>
      <c r="O373" s="19">
        <v>0</v>
      </c>
      <c r="P373" s="19">
        <v>0</v>
      </c>
      <c r="Q373" s="19">
        <v>0</v>
      </c>
      <c r="R373" s="19">
        <v>0</v>
      </c>
      <c r="S373" s="20"/>
    </row>
    <row r="374" ht="16.5" spans="1:19">
      <c r="A374" s="17">
        <v>399635</v>
      </c>
      <c r="B374" s="17" t="s">
        <v>851</v>
      </c>
      <c r="C374" s="17">
        <v>1403.041</v>
      </c>
      <c r="D374" s="17">
        <v>1722.113</v>
      </c>
      <c r="E374" s="17">
        <v>0</v>
      </c>
      <c r="F374" s="17">
        <v>0</v>
      </c>
      <c r="G374" s="17">
        <v>1</v>
      </c>
      <c r="H374" s="18">
        <v>0</v>
      </c>
      <c r="I374" s="18">
        <v>0</v>
      </c>
      <c r="J374" s="18">
        <v>0</v>
      </c>
      <c r="K374" s="19">
        <v>3</v>
      </c>
      <c r="L374" s="19">
        <v>2</v>
      </c>
      <c r="M374" s="19">
        <v>0</v>
      </c>
      <c r="N374" s="19">
        <v>-1</v>
      </c>
      <c r="O374" s="19">
        <v>0</v>
      </c>
      <c r="P374" s="19">
        <v>-24.376</v>
      </c>
      <c r="Q374" s="19">
        <v>0</v>
      </c>
      <c r="R374" s="19">
        <v>0</v>
      </c>
      <c r="S374" s="20"/>
    </row>
    <row r="375" ht="16.5" spans="1:19">
      <c r="A375" s="17">
        <v>399636</v>
      </c>
      <c r="B375" s="17" t="s">
        <v>852</v>
      </c>
      <c r="C375" s="17">
        <v>4473.439</v>
      </c>
      <c r="D375" s="17">
        <v>5176.965</v>
      </c>
      <c r="E375" s="17">
        <v>0</v>
      </c>
      <c r="F375" s="17">
        <v>0</v>
      </c>
      <c r="G375" s="17">
        <v>1</v>
      </c>
      <c r="H375" s="18">
        <v>0</v>
      </c>
      <c r="I375" s="18">
        <v>0</v>
      </c>
      <c r="J375" s="18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20"/>
    </row>
    <row r="376" ht="16.5" spans="1:19">
      <c r="A376" s="17">
        <v>399637</v>
      </c>
      <c r="B376" s="17" t="s">
        <v>853</v>
      </c>
      <c r="C376" s="17">
        <v>1568.162</v>
      </c>
      <c r="D376" s="17">
        <v>2014.087</v>
      </c>
      <c r="E376" s="17">
        <v>0</v>
      </c>
      <c r="F376" s="17">
        <v>0</v>
      </c>
      <c r="G376" s="17">
        <v>1</v>
      </c>
      <c r="H376" s="18">
        <v>0</v>
      </c>
      <c r="I376" s="18">
        <v>0</v>
      </c>
      <c r="J376" s="18">
        <v>0</v>
      </c>
      <c r="K376" s="19">
        <v>3</v>
      </c>
      <c r="L376" s="19">
        <v>1</v>
      </c>
      <c r="M376" s="19">
        <v>1</v>
      </c>
      <c r="N376" s="19">
        <v>-1</v>
      </c>
      <c r="O376" s="19">
        <v>0</v>
      </c>
      <c r="P376" s="19">
        <v>-16.456</v>
      </c>
      <c r="Q376" s="19">
        <v>0</v>
      </c>
      <c r="R376" s="19">
        <v>0</v>
      </c>
      <c r="S376" s="20"/>
    </row>
    <row r="377" ht="16.5" spans="1:19">
      <c r="A377" s="17">
        <v>399638</v>
      </c>
      <c r="B377" s="17" t="s">
        <v>854</v>
      </c>
      <c r="C377" s="17">
        <v>4815.765</v>
      </c>
      <c r="D377" s="17">
        <v>5752.958</v>
      </c>
      <c r="E377" s="17">
        <v>0</v>
      </c>
      <c r="F377" s="17">
        <v>0</v>
      </c>
      <c r="G377" s="17">
        <v>1</v>
      </c>
      <c r="H377" s="18">
        <v>0</v>
      </c>
      <c r="I377" s="18">
        <v>0</v>
      </c>
      <c r="J377" s="18">
        <v>0</v>
      </c>
      <c r="K377" s="19">
        <v>3</v>
      </c>
      <c r="L377" s="19">
        <v>2</v>
      </c>
      <c r="M377" s="19">
        <v>1</v>
      </c>
      <c r="N377" s="19">
        <v>-1</v>
      </c>
      <c r="O377" s="19">
        <v>0</v>
      </c>
      <c r="P377" s="19">
        <v>-22.624</v>
      </c>
      <c r="Q377" s="19">
        <v>-1</v>
      </c>
      <c r="R377" s="19">
        <v>0</v>
      </c>
      <c r="S377" s="20"/>
    </row>
    <row r="378" ht="16.5" spans="1:19">
      <c r="A378" s="17">
        <v>399640</v>
      </c>
      <c r="B378" s="17" t="s">
        <v>855</v>
      </c>
      <c r="C378" s="17">
        <v>1891.163</v>
      </c>
      <c r="D378" s="17">
        <v>2331.946</v>
      </c>
      <c r="E378" s="17">
        <v>0</v>
      </c>
      <c r="F378" s="17">
        <v>0</v>
      </c>
      <c r="G378" s="17">
        <v>1</v>
      </c>
      <c r="H378" s="18">
        <v>0</v>
      </c>
      <c r="I378" s="18">
        <v>0</v>
      </c>
      <c r="J378" s="18">
        <v>0</v>
      </c>
      <c r="K378" s="19">
        <v>0</v>
      </c>
      <c r="L378" s="19">
        <v>0</v>
      </c>
      <c r="M378" s="19">
        <v>0</v>
      </c>
      <c r="N378" s="19">
        <v>0</v>
      </c>
      <c r="O378" s="19">
        <v>0</v>
      </c>
      <c r="P378" s="19">
        <v>0</v>
      </c>
      <c r="Q378" s="19">
        <v>0</v>
      </c>
      <c r="R378" s="19">
        <v>0</v>
      </c>
      <c r="S378" s="20"/>
    </row>
    <row r="379" ht="16.5" spans="1:19">
      <c r="A379" s="17">
        <v>399641</v>
      </c>
      <c r="B379" s="17" t="s">
        <v>856</v>
      </c>
      <c r="C379" s="17">
        <v>1938.876</v>
      </c>
      <c r="D379" s="17">
        <v>2258.129</v>
      </c>
      <c r="E379" s="17">
        <v>0</v>
      </c>
      <c r="F379" s="17">
        <v>0</v>
      </c>
      <c r="G379" s="17">
        <v>1</v>
      </c>
      <c r="H379" s="18">
        <v>0</v>
      </c>
      <c r="I379" s="18">
        <v>0</v>
      </c>
      <c r="J379" s="18">
        <v>0</v>
      </c>
      <c r="K379" s="19">
        <v>0</v>
      </c>
      <c r="L379" s="19">
        <v>0</v>
      </c>
      <c r="M379" s="19">
        <v>0</v>
      </c>
      <c r="N379" s="19">
        <v>0</v>
      </c>
      <c r="O379" s="19">
        <v>0</v>
      </c>
      <c r="P379" s="19">
        <v>0</v>
      </c>
      <c r="Q379" s="19">
        <v>0</v>
      </c>
      <c r="R379" s="19">
        <v>0</v>
      </c>
      <c r="S379" s="20"/>
    </row>
    <row r="380" ht="16.5" spans="1:19">
      <c r="A380" s="17">
        <v>399642</v>
      </c>
      <c r="B380" s="17" t="s">
        <v>857</v>
      </c>
      <c r="C380" s="17">
        <v>1592.297</v>
      </c>
      <c r="D380" s="17">
        <v>1902.714</v>
      </c>
      <c r="E380" s="17">
        <v>0</v>
      </c>
      <c r="F380" s="17">
        <v>0</v>
      </c>
      <c r="G380" s="17">
        <v>1</v>
      </c>
      <c r="H380" s="18">
        <v>0</v>
      </c>
      <c r="I380" s="18">
        <v>0</v>
      </c>
      <c r="J380" s="18">
        <v>0</v>
      </c>
      <c r="K380" s="19">
        <v>0</v>
      </c>
      <c r="L380" s="19">
        <v>0</v>
      </c>
      <c r="M380" s="19">
        <v>0</v>
      </c>
      <c r="N380" s="19">
        <v>0</v>
      </c>
      <c r="O380" s="19">
        <v>0</v>
      </c>
      <c r="P380" s="19">
        <v>0</v>
      </c>
      <c r="Q380" s="19">
        <v>0</v>
      </c>
      <c r="R380" s="19">
        <v>0</v>
      </c>
      <c r="S380" s="20"/>
    </row>
    <row r="381" ht="16.5" spans="1:19">
      <c r="A381" s="17">
        <v>399643</v>
      </c>
      <c r="B381" s="17" t="s">
        <v>858</v>
      </c>
      <c r="C381" s="17">
        <v>2382.445</v>
      </c>
      <c r="D381" s="17">
        <v>2900.491</v>
      </c>
      <c r="E381" s="17">
        <v>0</v>
      </c>
      <c r="F381" s="17">
        <v>0</v>
      </c>
      <c r="G381" s="17">
        <v>1</v>
      </c>
      <c r="H381" s="18">
        <v>0</v>
      </c>
      <c r="I381" s="18">
        <v>0</v>
      </c>
      <c r="J381" s="18">
        <v>0</v>
      </c>
      <c r="K381" s="19">
        <v>0</v>
      </c>
      <c r="L381" s="19">
        <v>0</v>
      </c>
      <c r="M381" s="19">
        <v>0</v>
      </c>
      <c r="N381" s="19">
        <v>0</v>
      </c>
      <c r="O381" s="19">
        <v>0</v>
      </c>
      <c r="P381" s="19">
        <v>0</v>
      </c>
      <c r="Q381" s="19">
        <v>0</v>
      </c>
      <c r="R381" s="19">
        <v>0</v>
      </c>
      <c r="S381" s="20"/>
    </row>
    <row r="382" ht="16.5" spans="1:19">
      <c r="A382" s="17">
        <v>399645</v>
      </c>
      <c r="B382" s="17" t="s">
        <v>859</v>
      </c>
      <c r="C382" s="17">
        <v>8481.929</v>
      </c>
      <c r="D382" s="17">
        <v>9395.999</v>
      </c>
      <c r="E382" s="17">
        <v>0</v>
      </c>
      <c r="F382" s="17">
        <v>0</v>
      </c>
      <c r="G382" s="17">
        <v>1</v>
      </c>
      <c r="H382" s="18">
        <v>0</v>
      </c>
      <c r="I382" s="18">
        <v>0</v>
      </c>
      <c r="J382" s="18">
        <v>0</v>
      </c>
      <c r="K382" s="19">
        <v>3</v>
      </c>
      <c r="L382" s="19">
        <v>0</v>
      </c>
      <c r="M382" s="19">
        <v>1</v>
      </c>
      <c r="N382" s="19">
        <v>-1</v>
      </c>
      <c r="O382" s="19">
        <v>0</v>
      </c>
      <c r="P382" s="19">
        <v>-21.774</v>
      </c>
      <c r="Q382" s="19">
        <v>-1</v>
      </c>
      <c r="R382" s="19">
        <v>0</v>
      </c>
      <c r="S382" s="20"/>
    </row>
    <row r="383" ht="16.5" spans="1:19">
      <c r="A383" s="17">
        <v>399647</v>
      </c>
      <c r="B383" s="17" t="s">
        <v>860</v>
      </c>
      <c r="C383" s="17">
        <v>7454.436</v>
      </c>
      <c r="D383" s="17">
        <v>8787.467</v>
      </c>
      <c r="E383" s="17">
        <v>0</v>
      </c>
      <c r="F383" s="17">
        <v>0</v>
      </c>
      <c r="G383" s="17">
        <v>1</v>
      </c>
      <c r="H383" s="18">
        <v>0</v>
      </c>
      <c r="I383" s="18">
        <v>0</v>
      </c>
      <c r="J383" s="18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20"/>
    </row>
    <row r="384" ht="16.5" spans="1:19">
      <c r="A384" s="17">
        <v>399648</v>
      </c>
      <c r="B384" s="17" t="s">
        <v>861</v>
      </c>
      <c r="C384" s="17">
        <v>9799.137</v>
      </c>
      <c r="D384" s="17">
        <v>10991.049</v>
      </c>
      <c r="E384" s="17">
        <v>0</v>
      </c>
      <c r="F384" s="17">
        <v>0</v>
      </c>
      <c r="G384" s="17">
        <v>1</v>
      </c>
      <c r="H384" s="18">
        <v>0</v>
      </c>
      <c r="I384" s="18">
        <v>0</v>
      </c>
      <c r="J384" s="18">
        <v>0</v>
      </c>
      <c r="K384" s="19">
        <v>0</v>
      </c>
      <c r="L384" s="19">
        <v>0</v>
      </c>
      <c r="M384" s="19">
        <v>0</v>
      </c>
      <c r="N384" s="19">
        <v>0</v>
      </c>
      <c r="O384" s="19">
        <v>0</v>
      </c>
      <c r="P384" s="19">
        <v>0</v>
      </c>
      <c r="Q384" s="19">
        <v>0</v>
      </c>
      <c r="R384" s="19">
        <v>0</v>
      </c>
      <c r="S384" s="20"/>
    </row>
    <row r="385" ht="16.5" spans="1:19">
      <c r="A385" s="17">
        <v>399649</v>
      </c>
      <c r="B385" s="17" t="s">
        <v>862</v>
      </c>
      <c r="C385" s="17">
        <v>2517.127</v>
      </c>
      <c r="D385" s="17">
        <v>2883.721</v>
      </c>
      <c r="E385" s="17">
        <v>0</v>
      </c>
      <c r="F385" s="17">
        <v>0</v>
      </c>
      <c r="G385" s="17">
        <v>1</v>
      </c>
      <c r="H385" s="18">
        <v>0</v>
      </c>
      <c r="I385" s="18">
        <v>0</v>
      </c>
      <c r="J385" s="18">
        <v>0</v>
      </c>
      <c r="K385" s="19">
        <v>3</v>
      </c>
      <c r="L385" s="19">
        <v>0</v>
      </c>
      <c r="M385" s="19">
        <v>0</v>
      </c>
      <c r="N385" s="19">
        <v>0</v>
      </c>
      <c r="O385" s="19">
        <v>0</v>
      </c>
      <c r="P385" s="19">
        <v>-11.054</v>
      </c>
      <c r="Q385" s="19">
        <v>-1</v>
      </c>
      <c r="R385" s="19">
        <v>0</v>
      </c>
      <c r="S385" s="20"/>
    </row>
    <row r="386" ht="16.5" spans="1:19">
      <c r="A386" s="17">
        <v>399650</v>
      </c>
      <c r="B386" s="17" t="s">
        <v>863</v>
      </c>
      <c r="C386" s="17">
        <v>1957.786</v>
      </c>
      <c r="D386" s="17">
        <v>2225.563</v>
      </c>
      <c r="E386" s="17">
        <v>0</v>
      </c>
      <c r="F386" s="17">
        <v>0</v>
      </c>
      <c r="G386" s="17">
        <v>1</v>
      </c>
      <c r="H386" s="18">
        <v>0</v>
      </c>
      <c r="I386" s="18">
        <v>0</v>
      </c>
      <c r="J386" s="18">
        <v>0</v>
      </c>
      <c r="K386" s="19">
        <v>3</v>
      </c>
      <c r="L386" s="19">
        <v>2</v>
      </c>
      <c r="M386" s="19">
        <v>1</v>
      </c>
      <c r="N386" s="19">
        <v>-1</v>
      </c>
      <c r="O386" s="19">
        <v>0</v>
      </c>
      <c r="P386" s="19">
        <v>-23.252</v>
      </c>
      <c r="Q386" s="19">
        <v>0</v>
      </c>
      <c r="R386" s="19">
        <v>0</v>
      </c>
      <c r="S386" s="20"/>
    </row>
    <row r="387" ht="16.5" spans="1:19">
      <c r="A387" s="17">
        <v>399653</v>
      </c>
      <c r="B387" s="17" t="s">
        <v>864</v>
      </c>
      <c r="C387" s="17">
        <v>2307.973</v>
      </c>
      <c r="D387" s="17">
        <v>2608.184</v>
      </c>
      <c r="E387" s="17">
        <v>0</v>
      </c>
      <c r="F387" s="17">
        <v>0</v>
      </c>
      <c r="G387" s="17">
        <v>1</v>
      </c>
      <c r="H387" s="18">
        <v>0</v>
      </c>
      <c r="I387" s="18">
        <v>0</v>
      </c>
      <c r="J387" s="18">
        <v>0</v>
      </c>
      <c r="K387" s="19">
        <v>3</v>
      </c>
      <c r="L387" s="19">
        <v>0</v>
      </c>
      <c r="M387" s="19">
        <v>1</v>
      </c>
      <c r="N387" s="19">
        <v>-1</v>
      </c>
      <c r="O387" s="19">
        <v>0</v>
      </c>
      <c r="P387" s="19">
        <v>-30.276</v>
      </c>
      <c r="Q387" s="19">
        <v>0</v>
      </c>
      <c r="R387" s="19">
        <v>0</v>
      </c>
      <c r="S387" s="20"/>
    </row>
    <row r="388" ht="16.5" spans="1:19">
      <c r="A388" s="17">
        <v>399655</v>
      </c>
      <c r="B388" s="17" t="s">
        <v>865</v>
      </c>
      <c r="C388" s="17">
        <v>9465.499</v>
      </c>
      <c r="D388" s="17">
        <v>10745.16</v>
      </c>
      <c r="E388" s="17">
        <v>0</v>
      </c>
      <c r="F388" s="17">
        <v>0</v>
      </c>
      <c r="G388" s="17">
        <v>1</v>
      </c>
      <c r="H388" s="18">
        <v>0</v>
      </c>
      <c r="I388" s="18">
        <v>0</v>
      </c>
      <c r="J388" s="18">
        <v>0</v>
      </c>
      <c r="K388" s="19">
        <v>4</v>
      </c>
      <c r="L388" s="19">
        <v>2</v>
      </c>
      <c r="M388" s="19">
        <v>0</v>
      </c>
      <c r="N388" s="19">
        <v>1</v>
      </c>
      <c r="O388" s="19">
        <v>0</v>
      </c>
      <c r="P388" s="19">
        <v>-4.628</v>
      </c>
      <c r="Q388" s="19">
        <v>0</v>
      </c>
      <c r="R388" s="19">
        <v>0</v>
      </c>
      <c r="S388" s="20"/>
    </row>
    <row r="389" ht="16.5" spans="1:19">
      <c r="A389" s="17">
        <v>399656</v>
      </c>
      <c r="B389" s="17" t="s">
        <v>866</v>
      </c>
      <c r="C389" s="17">
        <v>5184.099</v>
      </c>
      <c r="D389" s="17">
        <v>5907.008</v>
      </c>
      <c r="E389" s="17">
        <v>0</v>
      </c>
      <c r="F389" s="17">
        <v>0</v>
      </c>
      <c r="G389" s="17">
        <v>1</v>
      </c>
      <c r="H389" s="18">
        <v>0</v>
      </c>
      <c r="I389" s="18">
        <v>0</v>
      </c>
      <c r="J389" s="18">
        <v>0</v>
      </c>
      <c r="K389" s="19">
        <v>3</v>
      </c>
      <c r="L389" s="19">
        <v>0</v>
      </c>
      <c r="M389" s="19">
        <v>0</v>
      </c>
      <c r="N389" s="19">
        <v>0</v>
      </c>
      <c r="O389" s="19">
        <v>0</v>
      </c>
      <c r="P389" s="19">
        <v>-13.81</v>
      </c>
      <c r="Q389" s="19">
        <v>0</v>
      </c>
      <c r="R389" s="19">
        <v>0</v>
      </c>
      <c r="S389" s="20"/>
    </row>
    <row r="390" ht="16.5" spans="1:19">
      <c r="A390" s="17">
        <v>399657</v>
      </c>
      <c r="B390" s="17" t="s">
        <v>867</v>
      </c>
      <c r="C390" s="17">
        <v>5369.094</v>
      </c>
      <c r="D390" s="17">
        <v>6150.411</v>
      </c>
      <c r="E390" s="17">
        <v>0</v>
      </c>
      <c r="F390" s="17">
        <v>0</v>
      </c>
      <c r="G390" s="17">
        <v>1</v>
      </c>
      <c r="H390" s="18">
        <v>0</v>
      </c>
      <c r="I390" s="18">
        <v>0</v>
      </c>
      <c r="J390" s="18">
        <v>0</v>
      </c>
      <c r="K390" s="19">
        <v>3</v>
      </c>
      <c r="L390" s="19">
        <v>0</v>
      </c>
      <c r="M390" s="19">
        <v>0</v>
      </c>
      <c r="N390" s="19">
        <v>0</v>
      </c>
      <c r="O390" s="19">
        <v>0</v>
      </c>
      <c r="P390" s="19">
        <v>-9.867</v>
      </c>
      <c r="Q390" s="19">
        <v>0</v>
      </c>
      <c r="R390" s="19">
        <v>0</v>
      </c>
      <c r="S390" s="20"/>
    </row>
    <row r="391" ht="16.5" spans="1:19">
      <c r="A391" s="17">
        <v>399658</v>
      </c>
      <c r="B391" s="17" t="s">
        <v>868</v>
      </c>
      <c r="C391" s="17">
        <v>3560.503</v>
      </c>
      <c r="D391" s="17">
        <v>4047.001</v>
      </c>
      <c r="E391" s="17">
        <v>0</v>
      </c>
      <c r="F391" s="17">
        <v>0</v>
      </c>
      <c r="G391" s="17">
        <v>1</v>
      </c>
      <c r="H391" s="18">
        <v>0</v>
      </c>
      <c r="I391" s="18">
        <v>0</v>
      </c>
      <c r="J391" s="18">
        <v>0</v>
      </c>
      <c r="K391" s="19">
        <v>3</v>
      </c>
      <c r="L391" s="19">
        <v>2</v>
      </c>
      <c r="M391" s="19">
        <v>1</v>
      </c>
      <c r="N391" s="19">
        <v>-1</v>
      </c>
      <c r="O391" s="19">
        <v>0</v>
      </c>
      <c r="P391" s="19">
        <v>-20.739</v>
      </c>
      <c r="Q391" s="19">
        <v>0</v>
      </c>
      <c r="R391" s="19">
        <v>0</v>
      </c>
      <c r="S391" s="20"/>
    </row>
    <row r="392" ht="16.5" spans="1:19">
      <c r="A392" s="17">
        <v>399659</v>
      </c>
      <c r="B392" s="17" t="s">
        <v>869</v>
      </c>
      <c r="C392" s="17">
        <v>3384.275</v>
      </c>
      <c r="D392" s="17">
        <v>3975.188</v>
      </c>
      <c r="E392" s="17">
        <v>0</v>
      </c>
      <c r="F392" s="17">
        <v>0</v>
      </c>
      <c r="G392" s="17">
        <v>1</v>
      </c>
      <c r="H392" s="18">
        <v>0</v>
      </c>
      <c r="I392" s="18">
        <v>0</v>
      </c>
      <c r="J392" s="18">
        <v>0</v>
      </c>
      <c r="K392" s="19">
        <v>4</v>
      </c>
      <c r="L392" s="19">
        <v>0</v>
      </c>
      <c r="M392" s="19">
        <v>0</v>
      </c>
      <c r="N392" s="19">
        <v>1</v>
      </c>
      <c r="O392" s="19">
        <v>0</v>
      </c>
      <c r="P392" s="19">
        <v>-3.989</v>
      </c>
      <c r="Q392" s="19">
        <v>0</v>
      </c>
      <c r="R392" s="19">
        <v>1</v>
      </c>
      <c r="S392" s="20"/>
    </row>
    <row r="393" ht="16.5" spans="1:18">
      <c r="A393" s="17">
        <v>399660</v>
      </c>
      <c r="B393" s="17" t="s">
        <v>870</v>
      </c>
      <c r="C393" s="17">
        <v>1834.684</v>
      </c>
      <c r="D393" s="17">
        <v>2135.662</v>
      </c>
      <c r="E393" s="17">
        <v>0</v>
      </c>
      <c r="F393" s="17">
        <v>0</v>
      </c>
      <c r="G393" s="17">
        <v>1</v>
      </c>
      <c r="H393" s="18">
        <v>0</v>
      </c>
      <c r="I393" s="18">
        <v>0</v>
      </c>
      <c r="J393" s="18">
        <v>0</v>
      </c>
      <c r="K393" s="19">
        <v>1</v>
      </c>
      <c r="L393" s="19">
        <v>0</v>
      </c>
      <c r="M393" s="19">
        <v>1</v>
      </c>
      <c r="N393" s="19">
        <v>-1</v>
      </c>
      <c r="O393" s="19">
        <v>0</v>
      </c>
      <c r="P393" s="19">
        <v>-15.834</v>
      </c>
      <c r="Q393" s="19">
        <v>0</v>
      </c>
      <c r="R393" s="19">
        <v>0</v>
      </c>
    </row>
    <row r="394" ht="16.5" spans="1:18">
      <c r="A394" s="17">
        <v>399661</v>
      </c>
      <c r="B394" s="17" t="s">
        <v>871</v>
      </c>
      <c r="C394" s="17">
        <v>5060.91</v>
      </c>
      <c r="D394" s="17">
        <v>5626.155</v>
      </c>
      <c r="E394" s="17">
        <v>0</v>
      </c>
      <c r="F394" s="17">
        <v>0</v>
      </c>
      <c r="G394" s="17">
        <v>1</v>
      </c>
      <c r="H394" s="18">
        <v>0</v>
      </c>
      <c r="I394" s="18">
        <v>0</v>
      </c>
      <c r="J394" s="18">
        <v>0</v>
      </c>
      <c r="K394" s="19">
        <v>4</v>
      </c>
      <c r="L394" s="19">
        <v>0</v>
      </c>
      <c r="M394" s="19">
        <v>0</v>
      </c>
      <c r="N394" s="19">
        <v>1</v>
      </c>
      <c r="O394" s="19">
        <v>0</v>
      </c>
      <c r="P394" s="19">
        <v>-1.423</v>
      </c>
      <c r="Q394" s="19">
        <v>1</v>
      </c>
      <c r="R394" s="19">
        <v>0</v>
      </c>
    </row>
    <row r="395" ht="16.5" spans="1:18">
      <c r="A395" s="17">
        <v>399662</v>
      </c>
      <c r="B395" s="17" t="s">
        <v>872</v>
      </c>
      <c r="C395" s="17">
        <v>1479.045</v>
      </c>
      <c r="D395" s="17">
        <v>1830.772</v>
      </c>
      <c r="E395" s="17">
        <v>0</v>
      </c>
      <c r="F395" s="17">
        <v>0</v>
      </c>
      <c r="G395" s="17">
        <v>1</v>
      </c>
      <c r="H395" s="18">
        <v>0</v>
      </c>
      <c r="I395" s="18">
        <v>0</v>
      </c>
      <c r="J395" s="18">
        <v>0</v>
      </c>
      <c r="K395" s="19">
        <v>3</v>
      </c>
      <c r="L395" s="19">
        <v>1</v>
      </c>
      <c r="M395" s="19">
        <v>1</v>
      </c>
      <c r="N395" s="19">
        <v>-1</v>
      </c>
      <c r="O395" s="19">
        <v>0</v>
      </c>
      <c r="P395" s="19">
        <v>-34.685</v>
      </c>
      <c r="Q395" s="19">
        <v>-1</v>
      </c>
      <c r="R395" s="19">
        <v>0</v>
      </c>
    </row>
    <row r="396" ht="16.5" spans="1:18">
      <c r="A396" s="17">
        <v>399663</v>
      </c>
      <c r="B396" s="17" t="s">
        <v>873</v>
      </c>
      <c r="C396" s="17">
        <v>1632.362</v>
      </c>
      <c r="D396" s="17">
        <v>1829.077</v>
      </c>
      <c r="E396" s="17">
        <v>0</v>
      </c>
      <c r="F396" s="17">
        <v>0</v>
      </c>
      <c r="G396" s="17">
        <v>1</v>
      </c>
      <c r="H396" s="18">
        <v>0</v>
      </c>
      <c r="I396" s="18">
        <v>0</v>
      </c>
      <c r="J396" s="18">
        <v>0</v>
      </c>
      <c r="K396" s="19">
        <v>2</v>
      </c>
      <c r="L396" s="19">
        <v>0</v>
      </c>
      <c r="M396" s="19">
        <v>1</v>
      </c>
      <c r="N396" s="19">
        <v>0</v>
      </c>
      <c r="O396" s="19">
        <v>0</v>
      </c>
      <c r="P396" s="19">
        <v>-18.992</v>
      </c>
      <c r="Q396" s="19">
        <v>0</v>
      </c>
      <c r="R396" s="19">
        <v>0</v>
      </c>
    </row>
    <row r="397" ht="16.5" spans="1:18">
      <c r="A397" s="17">
        <v>399666</v>
      </c>
      <c r="B397" s="17" t="s">
        <v>874</v>
      </c>
      <c r="C397" s="17">
        <v>1300.097</v>
      </c>
      <c r="D397" s="17">
        <v>1642.771</v>
      </c>
      <c r="E397" s="17">
        <v>0</v>
      </c>
      <c r="F397" s="17">
        <v>0</v>
      </c>
      <c r="G397" s="17">
        <v>1</v>
      </c>
      <c r="H397" s="18">
        <v>0</v>
      </c>
      <c r="I397" s="18">
        <v>0</v>
      </c>
      <c r="J397" s="18">
        <v>0</v>
      </c>
      <c r="K397" s="19">
        <v>3</v>
      </c>
      <c r="L397" s="19">
        <v>2</v>
      </c>
      <c r="M397" s="19">
        <v>1</v>
      </c>
      <c r="N397" s="19">
        <v>-1</v>
      </c>
      <c r="O397" s="19">
        <v>0</v>
      </c>
      <c r="P397" s="19">
        <v>-22.057</v>
      </c>
      <c r="Q397" s="19">
        <v>0</v>
      </c>
      <c r="R397" s="19">
        <v>0</v>
      </c>
    </row>
    <row r="398" ht="16.5" spans="1:18">
      <c r="A398" s="17">
        <v>399667</v>
      </c>
      <c r="B398" s="17" t="s">
        <v>875</v>
      </c>
      <c r="C398" s="17">
        <v>2961.366</v>
      </c>
      <c r="D398" s="17">
        <v>3579.018</v>
      </c>
      <c r="E398" s="17">
        <v>0</v>
      </c>
      <c r="F398" s="17">
        <v>0</v>
      </c>
      <c r="G398" s="17">
        <v>1</v>
      </c>
      <c r="H398" s="18">
        <v>0</v>
      </c>
      <c r="I398" s="18">
        <v>0</v>
      </c>
      <c r="J398" s="18">
        <v>0</v>
      </c>
      <c r="K398" s="19">
        <v>2</v>
      </c>
      <c r="L398" s="19">
        <v>0</v>
      </c>
      <c r="M398" s="19">
        <v>0</v>
      </c>
      <c r="N398" s="19">
        <v>0</v>
      </c>
      <c r="O398" s="19">
        <v>0</v>
      </c>
      <c r="P398" s="19">
        <v>-9.706</v>
      </c>
      <c r="Q398" s="19">
        <v>0</v>
      </c>
      <c r="R398" s="19">
        <v>0</v>
      </c>
    </row>
    <row r="399" ht="16.5" spans="1:18">
      <c r="A399" s="17">
        <v>399668</v>
      </c>
      <c r="B399" s="17" t="s">
        <v>876</v>
      </c>
      <c r="C399" s="17">
        <v>3695.591</v>
      </c>
      <c r="D399" s="17">
        <v>4413.328</v>
      </c>
      <c r="E399" s="17">
        <v>0</v>
      </c>
      <c r="F399" s="17">
        <v>0</v>
      </c>
      <c r="G399" s="17">
        <v>1</v>
      </c>
      <c r="H399" s="18">
        <v>0</v>
      </c>
      <c r="I399" s="18">
        <v>0</v>
      </c>
      <c r="J399" s="18">
        <v>0</v>
      </c>
      <c r="K399" s="19">
        <v>3</v>
      </c>
      <c r="L399" s="19">
        <v>2</v>
      </c>
      <c r="M399" s="19">
        <v>0</v>
      </c>
      <c r="N399" s="19">
        <v>-1</v>
      </c>
      <c r="O399" s="19">
        <v>0</v>
      </c>
      <c r="P399" s="19">
        <v>-17.968</v>
      </c>
      <c r="Q399" s="19">
        <v>0</v>
      </c>
      <c r="R399" s="19">
        <v>0</v>
      </c>
    </row>
    <row r="400" ht="16.5" spans="1:18">
      <c r="A400" s="17">
        <v>399670</v>
      </c>
      <c r="B400" s="17" t="s">
        <v>877</v>
      </c>
      <c r="C400" s="17">
        <v>3035.889</v>
      </c>
      <c r="D400" s="17">
        <v>3519.602</v>
      </c>
      <c r="E400" s="17">
        <v>0</v>
      </c>
      <c r="F400" s="17">
        <v>0</v>
      </c>
      <c r="G400" s="17">
        <v>1</v>
      </c>
      <c r="H400" s="18">
        <v>0</v>
      </c>
      <c r="I400" s="18">
        <v>0</v>
      </c>
      <c r="J400" s="18">
        <v>0</v>
      </c>
      <c r="K400" s="19">
        <v>2</v>
      </c>
      <c r="L400" s="19">
        <v>0</v>
      </c>
      <c r="M400" s="19">
        <v>0</v>
      </c>
      <c r="N400" s="19">
        <v>1</v>
      </c>
      <c r="O400" s="19">
        <v>0</v>
      </c>
      <c r="P400" s="19">
        <v>34.564</v>
      </c>
      <c r="Q400" s="19">
        <v>0</v>
      </c>
      <c r="R400" s="19">
        <v>1</v>
      </c>
    </row>
    <row r="401" ht="16.5" spans="1:18">
      <c r="A401" s="17">
        <v>399671</v>
      </c>
      <c r="B401" s="17" t="s">
        <v>878</v>
      </c>
      <c r="C401" s="17">
        <v>6537.451</v>
      </c>
      <c r="D401" s="17">
        <v>7525.241</v>
      </c>
      <c r="E401" s="17">
        <v>0</v>
      </c>
      <c r="F401" s="17">
        <v>0</v>
      </c>
      <c r="G401" s="17">
        <v>1</v>
      </c>
      <c r="H401" s="18">
        <v>0</v>
      </c>
      <c r="I401" s="18">
        <v>0</v>
      </c>
      <c r="J401" s="18">
        <v>0</v>
      </c>
      <c r="K401" s="19">
        <v>3</v>
      </c>
      <c r="L401" s="19">
        <v>0</v>
      </c>
      <c r="M401" s="19">
        <v>0</v>
      </c>
      <c r="N401" s="19">
        <v>0</v>
      </c>
      <c r="O401" s="19">
        <v>0</v>
      </c>
      <c r="P401" s="19">
        <v>-5.733</v>
      </c>
      <c r="Q401" s="19">
        <v>0</v>
      </c>
      <c r="R401" s="19">
        <v>0</v>
      </c>
    </row>
    <row r="402" ht="16.5" spans="1:18">
      <c r="A402" s="17">
        <v>399672</v>
      </c>
      <c r="B402" s="17" t="s">
        <v>879</v>
      </c>
      <c r="C402" s="17">
        <v>3705.334</v>
      </c>
      <c r="D402" s="17">
        <v>4164.993</v>
      </c>
      <c r="E402" s="17">
        <v>0</v>
      </c>
      <c r="F402" s="17">
        <v>0</v>
      </c>
      <c r="G402" s="17">
        <v>1</v>
      </c>
      <c r="H402" s="18">
        <v>0</v>
      </c>
      <c r="I402" s="18">
        <v>0</v>
      </c>
      <c r="J402" s="18">
        <v>0</v>
      </c>
      <c r="K402" s="19">
        <v>4</v>
      </c>
      <c r="L402" s="19">
        <v>1</v>
      </c>
      <c r="M402" s="19">
        <v>0</v>
      </c>
      <c r="N402" s="19">
        <v>0</v>
      </c>
      <c r="O402" s="19">
        <v>0</v>
      </c>
      <c r="P402" s="19">
        <v>-9.944</v>
      </c>
      <c r="Q402" s="19">
        <v>0</v>
      </c>
      <c r="R402" s="19">
        <v>1</v>
      </c>
    </row>
    <row r="403" ht="16.5" spans="1:18">
      <c r="A403" s="17">
        <v>399673</v>
      </c>
      <c r="B403" s="17" t="s">
        <v>880</v>
      </c>
      <c r="C403" s="17">
        <v>1952.006</v>
      </c>
      <c r="D403" s="17">
        <v>2359.729</v>
      </c>
      <c r="E403" s="17">
        <v>0</v>
      </c>
      <c r="F403" s="17">
        <v>0</v>
      </c>
      <c r="G403" s="17">
        <v>1</v>
      </c>
      <c r="H403" s="18">
        <v>0</v>
      </c>
      <c r="I403" s="18">
        <v>0</v>
      </c>
      <c r="J403" s="18">
        <v>0</v>
      </c>
      <c r="K403" s="19">
        <v>3</v>
      </c>
      <c r="L403" s="19">
        <v>0</v>
      </c>
      <c r="M403" s="19">
        <v>0</v>
      </c>
      <c r="N403" s="19">
        <v>0</v>
      </c>
      <c r="O403" s="19">
        <v>0</v>
      </c>
      <c r="P403" s="19">
        <v>-25.566</v>
      </c>
      <c r="Q403" s="19">
        <v>0</v>
      </c>
      <c r="R403" s="19">
        <v>0</v>
      </c>
    </row>
    <row r="404" ht="16.5" spans="1:18">
      <c r="A404" s="17">
        <v>399674</v>
      </c>
      <c r="B404" s="17" t="s">
        <v>881</v>
      </c>
      <c r="C404" s="17">
        <v>1664.247</v>
      </c>
      <c r="D404" s="17">
        <v>1978.456</v>
      </c>
      <c r="E404" s="17">
        <v>0</v>
      </c>
      <c r="F404" s="17">
        <v>0</v>
      </c>
      <c r="G404" s="17">
        <v>1</v>
      </c>
      <c r="H404" s="18">
        <v>0</v>
      </c>
      <c r="I404" s="18">
        <v>0</v>
      </c>
      <c r="J404" s="18">
        <v>0</v>
      </c>
      <c r="K404" s="19">
        <v>3</v>
      </c>
      <c r="L404" s="19">
        <v>0</v>
      </c>
      <c r="M404" s="19">
        <v>0</v>
      </c>
      <c r="N404" s="19">
        <v>-1</v>
      </c>
      <c r="O404" s="19">
        <v>0</v>
      </c>
      <c r="P404" s="19">
        <v>-4.077</v>
      </c>
      <c r="Q404" s="19">
        <v>0</v>
      </c>
      <c r="R404" s="19">
        <v>0</v>
      </c>
    </row>
    <row r="405" ht="16.5" spans="1:18">
      <c r="A405" s="17">
        <v>399678</v>
      </c>
      <c r="B405" s="17" t="s">
        <v>882</v>
      </c>
      <c r="C405" s="17">
        <v>417.431</v>
      </c>
      <c r="D405" s="17">
        <v>515.823</v>
      </c>
      <c r="E405" s="17">
        <v>0</v>
      </c>
      <c r="F405" s="17">
        <v>0</v>
      </c>
      <c r="G405" s="17">
        <v>1</v>
      </c>
      <c r="H405" s="18">
        <v>0</v>
      </c>
      <c r="I405" s="18">
        <v>0</v>
      </c>
      <c r="J405" s="18">
        <v>0</v>
      </c>
      <c r="K405" s="19">
        <v>3</v>
      </c>
      <c r="L405" s="19">
        <v>0</v>
      </c>
      <c r="M405" s="19">
        <v>1</v>
      </c>
      <c r="N405" s="19">
        <v>-1</v>
      </c>
      <c r="O405" s="19">
        <v>0</v>
      </c>
      <c r="P405" s="19">
        <v>-11.643</v>
      </c>
      <c r="Q405" s="19">
        <v>-1</v>
      </c>
      <c r="R405" s="19">
        <v>0</v>
      </c>
    </row>
    <row r="406" ht="16.5" spans="1:18">
      <c r="A406" s="17">
        <v>399679</v>
      </c>
      <c r="B406" s="17" t="s">
        <v>883</v>
      </c>
      <c r="C406" s="17">
        <v>4180.21</v>
      </c>
      <c r="D406" s="17">
        <v>4934.364</v>
      </c>
      <c r="E406" s="17">
        <v>0</v>
      </c>
      <c r="F406" s="17">
        <v>0</v>
      </c>
      <c r="G406" s="17">
        <v>1</v>
      </c>
      <c r="H406" s="18">
        <v>0</v>
      </c>
      <c r="I406" s="18">
        <v>0</v>
      </c>
      <c r="J406" s="18">
        <v>0</v>
      </c>
      <c r="K406" s="19">
        <v>4</v>
      </c>
      <c r="L406" s="19">
        <v>0</v>
      </c>
      <c r="M406" s="19">
        <v>0</v>
      </c>
      <c r="N406" s="19">
        <v>0</v>
      </c>
      <c r="O406" s="19">
        <v>0</v>
      </c>
      <c r="P406" s="19">
        <v>-16.731</v>
      </c>
      <c r="Q406" s="19">
        <v>0</v>
      </c>
      <c r="R406" s="19">
        <v>1</v>
      </c>
    </row>
    <row r="407" ht="16.5" spans="1:18">
      <c r="A407" s="17">
        <v>399680</v>
      </c>
      <c r="B407" s="17" t="s">
        <v>884</v>
      </c>
      <c r="C407" s="17">
        <v>599.9</v>
      </c>
      <c r="D407" s="17">
        <v>675.723</v>
      </c>
      <c r="E407" s="17">
        <v>0</v>
      </c>
      <c r="F407" s="17">
        <v>0</v>
      </c>
      <c r="G407" s="17">
        <v>1</v>
      </c>
      <c r="H407" s="18">
        <v>0</v>
      </c>
      <c r="I407" s="18">
        <v>0</v>
      </c>
      <c r="J407" s="18">
        <v>0</v>
      </c>
      <c r="K407" s="19">
        <v>2</v>
      </c>
      <c r="L407" s="19">
        <v>0</v>
      </c>
      <c r="M407" s="19">
        <v>1</v>
      </c>
      <c r="N407" s="19">
        <v>-1</v>
      </c>
      <c r="O407" s="19">
        <v>0</v>
      </c>
      <c r="P407" s="19">
        <v>-9.408</v>
      </c>
      <c r="Q407" s="19">
        <v>0</v>
      </c>
      <c r="R407" s="19">
        <v>0</v>
      </c>
    </row>
    <row r="408" ht="16.5" spans="1:18">
      <c r="A408" s="17">
        <v>399681</v>
      </c>
      <c r="B408" s="17" t="s">
        <v>885</v>
      </c>
      <c r="C408" s="17">
        <v>809.018</v>
      </c>
      <c r="D408" s="17">
        <v>928.381</v>
      </c>
      <c r="E408" s="17">
        <v>0</v>
      </c>
      <c r="F408" s="17">
        <v>0</v>
      </c>
      <c r="G408" s="17">
        <v>1</v>
      </c>
      <c r="H408" s="18">
        <v>0</v>
      </c>
      <c r="I408" s="18">
        <v>0</v>
      </c>
      <c r="J408" s="18">
        <v>0</v>
      </c>
      <c r="K408" s="19">
        <v>4</v>
      </c>
      <c r="L408" s="19">
        <v>0</v>
      </c>
      <c r="M408" s="19">
        <v>0</v>
      </c>
      <c r="N408" s="19">
        <v>1</v>
      </c>
      <c r="O408" s="19">
        <v>0</v>
      </c>
      <c r="P408" s="19">
        <v>-12.857</v>
      </c>
      <c r="Q408" s="19">
        <v>0</v>
      </c>
      <c r="R408" s="19">
        <v>1</v>
      </c>
    </row>
    <row r="409" ht="16.5" spans="1:18">
      <c r="A409" s="17">
        <v>399682</v>
      </c>
      <c r="B409" s="17" t="s">
        <v>886</v>
      </c>
      <c r="C409" s="17">
        <v>1292.095</v>
      </c>
      <c r="D409" s="17">
        <v>1500.499</v>
      </c>
      <c r="E409" s="17">
        <v>0</v>
      </c>
      <c r="F409" s="17">
        <v>0</v>
      </c>
      <c r="G409" s="17">
        <v>1</v>
      </c>
      <c r="H409" s="18">
        <v>0</v>
      </c>
      <c r="I409" s="18">
        <v>0</v>
      </c>
      <c r="J409" s="18">
        <v>0</v>
      </c>
      <c r="K409" s="19">
        <v>3</v>
      </c>
      <c r="L409" s="19">
        <v>0</v>
      </c>
      <c r="M409" s="19">
        <v>0</v>
      </c>
      <c r="N409" s="19">
        <v>-1</v>
      </c>
      <c r="O409" s="19">
        <v>0</v>
      </c>
      <c r="P409" s="19">
        <v>-13.483</v>
      </c>
      <c r="Q409" s="19">
        <v>0</v>
      </c>
      <c r="R409" s="19">
        <v>0</v>
      </c>
    </row>
    <row r="410" ht="16.5" spans="1:18">
      <c r="A410" s="17">
        <v>399685</v>
      </c>
      <c r="B410" s="17" t="s">
        <v>887</v>
      </c>
      <c r="C410" s="17">
        <v>1548.318</v>
      </c>
      <c r="D410" s="17">
        <v>1823.652</v>
      </c>
      <c r="E410" s="17">
        <v>0</v>
      </c>
      <c r="F410" s="17">
        <v>0</v>
      </c>
      <c r="G410" s="17">
        <v>1</v>
      </c>
      <c r="H410" s="18">
        <v>0</v>
      </c>
      <c r="I410" s="18">
        <v>0</v>
      </c>
      <c r="J410" s="18">
        <v>0</v>
      </c>
      <c r="K410" s="19">
        <v>4</v>
      </c>
      <c r="L410" s="19">
        <v>0</v>
      </c>
      <c r="M410" s="19">
        <v>0</v>
      </c>
      <c r="N410" s="19">
        <v>0</v>
      </c>
      <c r="O410" s="19">
        <v>0</v>
      </c>
      <c r="P410" s="19">
        <v>-20.032</v>
      </c>
      <c r="Q410" s="19">
        <v>0</v>
      </c>
      <c r="R410" s="19">
        <v>0</v>
      </c>
    </row>
    <row r="411" ht="16.5" spans="1:18">
      <c r="A411" s="17">
        <v>399686</v>
      </c>
      <c r="B411" s="17" t="s">
        <v>888</v>
      </c>
      <c r="C411" s="17">
        <v>1889.203</v>
      </c>
      <c r="D411" s="17">
        <v>2296.363</v>
      </c>
      <c r="E411" s="17">
        <v>0</v>
      </c>
      <c r="F411" s="17">
        <v>0</v>
      </c>
      <c r="G411" s="17">
        <v>1</v>
      </c>
      <c r="H411" s="18">
        <v>0</v>
      </c>
      <c r="I411" s="18">
        <v>0</v>
      </c>
      <c r="J411" s="18">
        <v>0</v>
      </c>
      <c r="K411" s="19">
        <v>3</v>
      </c>
      <c r="L411" s="19">
        <v>0</v>
      </c>
      <c r="M411" s="19">
        <v>0</v>
      </c>
      <c r="N411" s="19">
        <v>0</v>
      </c>
      <c r="O411" s="19">
        <v>0</v>
      </c>
      <c r="P411" s="19">
        <v>-21.83</v>
      </c>
      <c r="Q411" s="19">
        <v>0</v>
      </c>
      <c r="R411" s="19">
        <v>0</v>
      </c>
    </row>
    <row r="412" ht="16.5" spans="1:18">
      <c r="A412" s="17">
        <v>399687</v>
      </c>
      <c r="B412" s="17" t="s">
        <v>889</v>
      </c>
      <c r="C412" s="17">
        <v>2584.641</v>
      </c>
      <c r="D412" s="17">
        <v>3204.036</v>
      </c>
      <c r="E412" s="17">
        <v>0</v>
      </c>
      <c r="F412" s="17">
        <v>0</v>
      </c>
      <c r="G412" s="17">
        <v>1</v>
      </c>
      <c r="H412" s="18">
        <v>0</v>
      </c>
      <c r="I412" s="18">
        <v>0</v>
      </c>
      <c r="J412" s="18">
        <v>0</v>
      </c>
      <c r="K412" s="19">
        <v>4</v>
      </c>
      <c r="L412" s="19">
        <v>0</v>
      </c>
      <c r="M412" s="19">
        <v>0</v>
      </c>
      <c r="N412" s="19">
        <v>0</v>
      </c>
      <c r="O412" s="19">
        <v>0</v>
      </c>
      <c r="P412" s="19">
        <v>-32.262</v>
      </c>
      <c r="Q412" s="19">
        <v>0</v>
      </c>
      <c r="R412" s="19">
        <v>0</v>
      </c>
    </row>
    <row r="413" ht="16.5" spans="1:18">
      <c r="A413" s="17">
        <v>399688</v>
      </c>
      <c r="B413" s="17" t="s">
        <v>890</v>
      </c>
      <c r="C413" s="17">
        <v>2226.352</v>
      </c>
      <c r="D413" s="17">
        <v>2756.599</v>
      </c>
      <c r="E413" s="17">
        <v>0</v>
      </c>
      <c r="F413" s="17">
        <v>0</v>
      </c>
      <c r="G413" s="17">
        <v>1</v>
      </c>
      <c r="H413" s="18">
        <v>0</v>
      </c>
      <c r="I413" s="18">
        <v>0</v>
      </c>
      <c r="J413" s="18">
        <v>0</v>
      </c>
      <c r="K413" s="19">
        <v>3</v>
      </c>
      <c r="L413" s="19">
        <v>0</v>
      </c>
      <c r="M413" s="19">
        <v>0</v>
      </c>
      <c r="N413" s="19">
        <v>0</v>
      </c>
      <c r="O413" s="19">
        <v>0</v>
      </c>
      <c r="P413" s="19">
        <v>-5.615</v>
      </c>
      <c r="Q413" s="19">
        <v>0</v>
      </c>
      <c r="R413" s="19">
        <v>0</v>
      </c>
    </row>
    <row r="414" ht="16.5" spans="1:18">
      <c r="A414" s="17">
        <v>399689</v>
      </c>
      <c r="B414" s="17" t="s">
        <v>891</v>
      </c>
      <c r="C414" s="17">
        <v>766.248</v>
      </c>
      <c r="D414" s="17">
        <v>886.392</v>
      </c>
      <c r="E414" s="17">
        <v>0</v>
      </c>
      <c r="F414" s="17">
        <v>0</v>
      </c>
      <c r="G414" s="17">
        <v>1</v>
      </c>
      <c r="H414" s="18">
        <v>0</v>
      </c>
      <c r="I414" s="18">
        <v>0</v>
      </c>
      <c r="J414" s="18">
        <v>0</v>
      </c>
      <c r="K414" s="19">
        <v>3</v>
      </c>
      <c r="L414" s="19">
        <v>2</v>
      </c>
      <c r="M414" s="19">
        <v>0</v>
      </c>
      <c r="N414" s="19">
        <v>0</v>
      </c>
      <c r="O414" s="19">
        <v>0</v>
      </c>
      <c r="P414" s="19">
        <v>-27.298</v>
      </c>
      <c r="Q414" s="19">
        <v>-1</v>
      </c>
      <c r="R414" s="19">
        <v>0</v>
      </c>
    </row>
    <row r="415" ht="16.5" spans="1:18">
      <c r="A415" s="17">
        <v>399692</v>
      </c>
      <c r="B415" s="17" t="s">
        <v>892</v>
      </c>
      <c r="C415" s="17">
        <v>2988.654</v>
      </c>
      <c r="D415" s="17">
        <v>3568.675</v>
      </c>
      <c r="E415" s="17">
        <v>0</v>
      </c>
      <c r="F415" s="17">
        <v>0</v>
      </c>
      <c r="G415" s="17">
        <v>1</v>
      </c>
      <c r="H415" s="18">
        <v>0</v>
      </c>
      <c r="I415" s="18">
        <v>0</v>
      </c>
      <c r="J415" s="18">
        <v>0</v>
      </c>
      <c r="K415" s="19">
        <v>3</v>
      </c>
      <c r="L415" s="19">
        <v>2</v>
      </c>
      <c r="M415" s="19">
        <v>0</v>
      </c>
      <c r="N415" s="19">
        <v>0</v>
      </c>
      <c r="O415" s="19">
        <v>0</v>
      </c>
      <c r="P415" s="19">
        <v>-5.56</v>
      </c>
      <c r="Q415" s="19">
        <v>0</v>
      </c>
      <c r="R415" s="19">
        <v>0</v>
      </c>
    </row>
    <row r="416" ht="16.5" spans="1:18">
      <c r="A416" s="17">
        <v>399693</v>
      </c>
      <c r="B416" s="17" t="s">
        <v>893</v>
      </c>
      <c r="C416" s="17">
        <v>3733.743</v>
      </c>
      <c r="D416" s="17">
        <v>4992.956</v>
      </c>
      <c r="E416" s="17">
        <v>0</v>
      </c>
      <c r="F416" s="17">
        <v>0</v>
      </c>
      <c r="G416" s="17">
        <v>1</v>
      </c>
      <c r="H416" s="18">
        <v>0</v>
      </c>
      <c r="I416" s="18">
        <v>0</v>
      </c>
      <c r="J416" s="18">
        <v>0</v>
      </c>
      <c r="K416" s="19">
        <v>2</v>
      </c>
      <c r="L416" s="19">
        <v>0</v>
      </c>
      <c r="M416" s="19">
        <v>0</v>
      </c>
      <c r="N416" s="19">
        <v>1</v>
      </c>
      <c r="O416" s="19">
        <v>0</v>
      </c>
      <c r="P416" s="19">
        <v>-12.174</v>
      </c>
      <c r="Q416" s="19">
        <v>0</v>
      </c>
      <c r="R416" s="19">
        <v>1</v>
      </c>
    </row>
    <row r="417" ht="16.5" spans="1:18">
      <c r="A417" s="17">
        <v>399694</v>
      </c>
      <c r="B417" s="17" t="s">
        <v>894</v>
      </c>
      <c r="C417" s="17">
        <v>2699.419</v>
      </c>
      <c r="D417" s="17">
        <v>3535.155</v>
      </c>
      <c r="E417" s="17">
        <v>0</v>
      </c>
      <c r="F417" s="17">
        <v>0</v>
      </c>
      <c r="G417" s="17">
        <v>1</v>
      </c>
      <c r="H417" s="18">
        <v>0</v>
      </c>
      <c r="I417" s="18">
        <v>0</v>
      </c>
      <c r="J417" s="18">
        <v>0</v>
      </c>
      <c r="K417" s="19">
        <v>2</v>
      </c>
      <c r="L417" s="19">
        <v>0</v>
      </c>
      <c r="M417" s="19">
        <v>0</v>
      </c>
      <c r="N417" s="19">
        <v>-1</v>
      </c>
      <c r="O417" s="19">
        <v>0</v>
      </c>
      <c r="P417" s="19">
        <v>-7.623</v>
      </c>
      <c r="Q417" s="19">
        <v>0</v>
      </c>
      <c r="R417" s="19">
        <v>0</v>
      </c>
    </row>
    <row r="418" ht="16.5" spans="1:18">
      <c r="A418" s="17">
        <v>399695</v>
      </c>
      <c r="B418" s="17" t="s">
        <v>895</v>
      </c>
      <c r="C418" s="17">
        <v>1939.036</v>
      </c>
      <c r="D418" s="17">
        <v>2327.989</v>
      </c>
      <c r="E418" s="17">
        <v>0</v>
      </c>
      <c r="F418" s="17">
        <v>0</v>
      </c>
      <c r="G418" s="17">
        <v>1</v>
      </c>
      <c r="H418" s="18">
        <v>0</v>
      </c>
      <c r="I418" s="18">
        <v>0</v>
      </c>
      <c r="J418" s="18">
        <v>0</v>
      </c>
      <c r="K418" s="19">
        <v>2</v>
      </c>
      <c r="L418" s="19">
        <v>0</v>
      </c>
      <c r="M418" s="19">
        <v>1</v>
      </c>
      <c r="N418" s="19">
        <v>-1</v>
      </c>
      <c r="O418" s="19">
        <v>0</v>
      </c>
      <c r="P418" s="19">
        <v>-10.561</v>
      </c>
      <c r="Q418" s="19">
        <v>-1</v>
      </c>
      <c r="R418" s="19">
        <v>0</v>
      </c>
    </row>
    <row r="419" ht="16.5" spans="1:18">
      <c r="A419" s="17">
        <v>399696</v>
      </c>
      <c r="B419" s="17" t="s">
        <v>896</v>
      </c>
      <c r="C419" s="17">
        <v>2409.719</v>
      </c>
      <c r="D419" s="17">
        <v>2941.485</v>
      </c>
      <c r="E419" s="17">
        <v>0</v>
      </c>
      <c r="F419" s="17">
        <v>0</v>
      </c>
      <c r="G419" s="17">
        <v>1</v>
      </c>
      <c r="H419" s="18">
        <v>0</v>
      </c>
      <c r="I419" s="18">
        <v>0</v>
      </c>
      <c r="J419" s="18">
        <v>0</v>
      </c>
      <c r="K419" s="19">
        <v>3</v>
      </c>
      <c r="L419" s="19">
        <v>0</v>
      </c>
      <c r="M419" s="19">
        <v>0</v>
      </c>
      <c r="N419" s="19">
        <v>-1</v>
      </c>
      <c r="O419" s="19">
        <v>0</v>
      </c>
      <c r="P419" s="19">
        <v>-15.452</v>
      </c>
      <c r="Q419" s="19">
        <v>0</v>
      </c>
      <c r="R419" s="19">
        <v>0</v>
      </c>
    </row>
    <row r="420" ht="16.5" spans="1:18">
      <c r="A420" s="17">
        <v>399701</v>
      </c>
      <c r="B420" s="17" t="s">
        <v>897</v>
      </c>
      <c r="C420" s="17">
        <v>7152.438</v>
      </c>
      <c r="D420" s="17">
        <v>7965.114</v>
      </c>
      <c r="E420" s="17">
        <v>0</v>
      </c>
      <c r="F420" s="17">
        <v>0</v>
      </c>
      <c r="G420" s="17">
        <v>1</v>
      </c>
      <c r="H420" s="18">
        <v>0</v>
      </c>
      <c r="I420" s="18">
        <v>0</v>
      </c>
      <c r="J420" s="18">
        <v>0</v>
      </c>
      <c r="K420" s="19">
        <v>4</v>
      </c>
      <c r="L420" s="19">
        <v>1</v>
      </c>
      <c r="M420" s="19">
        <v>0</v>
      </c>
      <c r="N420" s="19">
        <v>1</v>
      </c>
      <c r="O420" s="19">
        <v>0</v>
      </c>
      <c r="P420" s="19">
        <v>3.99</v>
      </c>
      <c r="Q420" s="19">
        <v>0</v>
      </c>
      <c r="R420" s="19">
        <v>1</v>
      </c>
    </row>
    <row r="421" ht="16.5" spans="1:18">
      <c r="A421" s="17">
        <v>399702</v>
      </c>
      <c r="B421" s="17" t="s">
        <v>898</v>
      </c>
      <c r="C421" s="17">
        <v>6454.09</v>
      </c>
      <c r="D421" s="17">
        <v>7242.212</v>
      </c>
      <c r="E421" s="17">
        <v>0</v>
      </c>
      <c r="F421" s="17">
        <v>0</v>
      </c>
      <c r="G421" s="17">
        <v>1</v>
      </c>
      <c r="H421" s="18">
        <v>0</v>
      </c>
      <c r="I421" s="18">
        <v>0</v>
      </c>
      <c r="J421" s="18">
        <v>0</v>
      </c>
      <c r="K421" s="19">
        <v>3</v>
      </c>
      <c r="L421" s="19">
        <v>0</v>
      </c>
      <c r="M421" s="19">
        <v>0</v>
      </c>
      <c r="N421" s="19">
        <v>1</v>
      </c>
      <c r="O421" s="19">
        <v>0</v>
      </c>
      <c r="P421" s="19">
        <v>-17.384</v>
      </c>
      <c r="Q421" s="19">
        <v>0</v>
      </c>
      <c r="R421" s="19">
        <v>0</v>
      </c>
    </row>
    <row r="422" ht="16.5" spans="1:18">
      <c r="A422" s="17">
        <v>399703</v>
      </c>
      <c r="B422" s="17" t="s">
        <v>899</v>
      </c>
      <c r="C422" s="17">
        <v>6235.99</v>
      </c>
      <c r="D422" s="17">
        <v>7045.416</v>
      </c>
      <c r="E422" s="17">
        <v>0</v>
      </c>
      <c r="F422" s="17">
        <v>0</v>
      </c>
      <c r="G422" s="17">
        <v>1</v>
      </c>
      <c r="H422" s="18">
        <v>0</v>
      </c>
      <c r="I422" s="18">
        <v>0</v>
      </c>
      <c r="J422" s="18">
        <v>0</v>
      </c>
      <c r="K422" s="19">
        <v>4</v>
      </c>
      <c r="L422" s="19">
        <v>0</v>
      </c>
      <c r="M422" s="19">
        <v>0</v>
      </c>
      <c r="N422" s="19">
        <v>0</v>
      </c>
      <c r="O422" s="19">
        <v>0</v>
      </c>
      <c r="P422" s="19">
        <v>-13.647</v>
      </c>
      <c r="Q422" s="19">
        <v>0</v>
      </c>
      <c r="R422" s="19">
        <v>1</v>
      </c>
    </row>
    <row r="423" ht="16.5" spans="1:18">
      <c r="A423" s="17">
        <v>399704</v>
      </c>
      <c r="B423" s="17" t="s">
        <v>900</v>
      </c>
      <c r="C423" s="17">
        <v>3810.23</v>
      </c>
      <c r="D423" s="17">
        <v>4372.116</v>
      </c>
      <c r="E423" s="17">
        <v>0</v>
      </c>
      <c r="F423" s="17">
        <v>0</v>
      </c>
      <c r="G423" s="17">
        <v>1</v>
      </c>
      <c r="H423" s="18">
        <v>0</v>
      </c>
      <c r="I423" s="18">
        <v>0</v>
      </c>
      <c r="J423" s="18">
        <v>0</v>
      </c>
      <c r="K423" s="19">
        <v>2</v>
      </c>
      <c r="L423" s="19">
        <v>2</v>
      </c>
      <c r="M423" s="19">
        <v>1</v>
      </c>
      <c r="N423" s="19">
        <v>-1</v>
      </c>
      <c r="O423" s="19">
        <v>0</v>
      </c>
      <c r="P423" s="19">
        <v>-12.849</v>
      </c>
      <c r="Q423" s="19">
        <v>0</v>
      </c>
      <c r="R423" s="19">
        <v>0</v>
      </c>
    </row>
    <row r="424" ht="16.5" spans="1:18">
      <c r="A424" s="17">
        <v>399705</v>
      </c>
      <c r="B424" s="17" t="s">
        <v>901</v>
      </c>
      <c r="C424" s="17">
        <v>2660.328</v>
      </c>
      <c r="D424" s="17">
        <v>3075.165</v>
      </c>
      <c r="E424" s="17">
        <v>0</v>
      </c>
      <c r="F424" s="17">
        <v>0</v>
      </c>
      <c r="G424" s="17">
        <v>1</v>
      </c>
      <c r="H424" s="18">
        <v>0</v>
      </c>
      <c r="I424" s="18">
        <v>0</v>
      </c>
      <c r="J424" s="18">
        <v>0</v>
      </c>
      <c r="K424" s="19">
        <v>3</v>
      </c>
      <c r="L424" s="19">
        <v>0</v>
      </c>
      <c r="M424" s="19">
        <v>0</v>
      </c>
      <c r="N424" s="19">
        <v>0</v>
      </c>
      <c r="O424" s="19">
        <v>0</v>
      </c>
      <c r="P424" s="19">
        <v>-13.6</v>
      </c>
      <c r="Q424" s="19">
        <v>0</v>
      </c>
      <c r="R424" s="19">
        <v>0</v>
      </c>
    </row>
    <row r="425" ht="16.5" spans="1:18">
      <c r="A425" s="17">
        <v>399707</v>
      </c>
      <c r="B425" s="17" t="s">
        <v>902</v>
      </c>
      <c r="C425" s="17">
        <v>5670.048</v>
      </c>
      <c r="D425" s="17">
        <v>7029.259</v>
      </c>
      <c r="E425" s="17">
        <v>0</v>
      </c>
      <c r="F425" s="17">
        <v>0</v>
      </c>
      <c r="G425" s="17">
        <v>1</v>
      </c>
      <c r="H425" s="18">
        <v>0</v>
      </c>
      <c r="I425" s="18">
        <v>0</v>
      </c>
      <c r="J425" s="18">
        <v>0</v>
      </c>
      <c r="K425" s="19">
        <v>3</v>
      </c>
      <c r="L425" s="19">
        <v>0</v>
      </c>
      <c r="M425" s="19">
        <v>0</v>
      </c>
      <c r="N425" s="19">
        <v>1</v>
      </c>
      <c r="O425" s="19">
        <v>0</v>
      </c>
      <c r="P425" s="19">
        <v>-3.966</v>
      </c>
      <c r="Q425" s="19">
        <v>0</v>
      </c>
      <c r="R425" s="19">
        <v>0</v>
      </c>
    </row>
    <row r="426" ht="16.5" spans="1:18">
      <c r="A426" s="17">
        <v>399750</v>
      </c>
      <c r="B426" s="17" t="s">
        <v>470</v>
      </c>
      <c r="C426" s="17">
        <v>7917.021</v>
      </c>
      <c r="D426" s="17">
        <v>8771.376</v>
      </c>
      <c r="E426" s="17">
        <v>0</v>
      </c>
      <c r="F426" s="17">
        <v>0</v>
      </c>
      <c r="G426" s="17">
        <v>1</v>
      </c>
      <c r="H426" s="18">
        <v>0</v>
      </c>
      <c r="I426" s="18">
        <v>0</v>
      </c>
      <c r="J426" s="18">
        <v>0</v>
      </c>
      <c r="K426" s="19">
        <v>4</v>
      </c>
      <c r="L426" s="19">
        <v>0</v>
      </c>
      <c r="M426" s="19">
        <v>0</v>
      </c>
      <c r="N426" s="19">
        <v>0</v>
      </c>
      <c r="O426" s="19">
        <v>0</v>
      </c>
      <c r="P426" s="19">
        <v>-1.598</v>
      </c>
      <c r="Q426" s="19">
        <v>0</v>
      </c>
      <c r="R426" s="19">
        <v>1</v>
      </c>
    </row>
    <row r="427" ht="16.5" spans="1:18">
      <c r="A427" s="17">
        <v>399802</v>
      </c>
      <c r="B427" s="17" t="s">
        <v>903</v>
      </c>
      <c r="C427" s="17">
        <v>4685.622</v>
      </c>
      <c r="D427" s="17">
        <v>5574.932</v>
      </c>
      <c r="E427" s="17">
        <v>0</v>
      </c>
      <c r="F427" s="17">
        <v>0</v>
      </c>
      <c r="G427" s="17">
        <v>1</v>
      </c>
      <c r="H427" s="18">
        <v>0</v>
      </c>
      <c r="I427" s="18">
        <v>0</v>
      </c>
      <c r="J427" s="18">
        <v>0</v>
      </c>
      <c r="K427" s="19">
        <v>3</v>
      </c>
      <c r="L427" s="19">
        <v>0</v>
      </c>
      <c r="M427" s="19">
        <v>0</v>
      </c>
      <c r="N427" s="19">
        <v>-1</v>
      </c>
      <c r="O427" s="19">
        <v>0</v>
      </c>
      <c r="P427" s="19">
        <v>-6.338</v>
      </c>
      <c r="Q427" s="19">
        <v>0</v>
      </c>
      <c r="R427" s="19">
        <v>0</v>
      </c>
    </row>
    <row r="428" ht="16.5" spans="1:18">
      <c r="A428" s="17">
        <v>399804</v>
      </c>
      <c r="B428" s="17" t="s">
        <v>904</v>
      </c>
      <c r="C428" s="17">
        <v>1380.768</v>
      </c>
      <c r="D428" s="17">
        <v>1762.397</v>
      </c>
      <c r="E428" s="17">
        <v>0</v>
      </c>
      <c r="F428" s="17">
        <v>0</v>
      </c>
      <c r="G428" s="17">
        <v>1</v>
      </c>
      <c r="H428" s="18">
        <v>0</v>
      </c>
      <c r="I428" s="18">
        <v>0</v>
      </c>
      <c r="J428" s="18">
        <v>0</v>
      </c>
      <c r="K428" s="19">
        <v>4</v>
      </c>
      <c r="L428" s="19">
        <v>2</v>
      </c>
      <c r="M428" s="19">
        <v>0</v>
      </c>
      <c r="N428" s="19">
        <v>0</v>
      </c>
      <c r="O428" s="19">
        <v>0</v>
      </c>
      <c r="P428" s="19">
        <v>-12.304</v>
      </c>
      <c r="Q428" s="19">
        <v>0</v>
      </c>
      <c r="R428" s="19">
        <v>1</v>
      </c>
    </row>
    <row r="429" ht="16.5" spans="1:18">
      <c r="A429" s="17">
        <v>399807</v>
      </c>
      <c r="B429" s="17" t="s">
        <v>905</v>
      </c>
      <c r="C429" s="17">
        <v>1231.659</v>
      </c>
      <c r="D429" s="17">
        <v>1415.116</v>
      </c>
      <c r="E429" s="17">
        <v>0</v>
      </c>
      <c r="F429" s="17">
        <v>0</v>
      </c>
      <c r="G429" s="17">
        <v>1</v>
      </c>
      <c r="H429" s="18">
        <v>0</v>
      </c>
      <c r="I429" s="18">
        <v>0</v>
      </c>
      <c r="J429" s="18">
        <v>0</v>
      </c>
      <c r="K429" s="19">
        <v>3</v>
      </c>
      <c r="L429" s="19">
        <v>0</v>
      </c>
      <c r="M429" s="19">
        <v>0</v>
      </c>
      <c r="N429" s="19">
        <v>1</v>
      </c>
      <c r="O429" s="19">
        <v>0</v>
      </c>
      <c r="P429" s="19">
        <v>-24.839</v>
      </c>
      <c r="Q429" s="19">
        <v>0</v>
      </c>
      <c r="R429" s="19">
        <v>0</v>
      </c>
    </row>
    <row r="430" ht="16.5" spans="1:18">
      <c r="A430" s="17">
        <v>399808</v>
      </c>
      <c r="B430" s="17" t="s">
        <v>906</v>
      </c>
      <c r="C430" s="17">
        <v>1809.62</v>
      </c>
      <c r="D430" s="17">
        <v>2198.491</v>
      </c>
      <c r="E430" s="17">
        <v>0</v>
      </c>
      <c r="F430" s="17">
        <v>0</v>
      </c>
      <c r="G430" s="17">
        <v>1</v>
      </c>
      <c r="H430" s="18">
        <v>0</v>
      </c>
      <c r="I430" s="18">
        <v>0</v>
      </c>
      <c r="J430" s="18">
        <v>0</v>
      </c>
      <c r="K430" s="19">
        <v>0</v>
      </c>
      <c r="L430" s="19">
        <v>0</v>
      </c>
      <c r="M430" s="19">
        <v>1</v>
      </c>
      <c r="N430" s="19">
        <v>-1</v>
      </c>
      <c r="O430" s="19">
        <v>0</v>
      </c>
      <c r="P430" s="19">
        <v>-9.422</v>
      </c>
      <c r="Q430" s="19">
        <v>-1</v>
      </c>
      <c r="R430" s="19">
        <v>0</v>
      </c>
    </row>
    <row r="431" ht="16.5" spans="1:18">
      <c r="A431" s="17">
        <v>399809</v>
      </c>
      <c r="B431" s="17" t="s">
        <v>907</v>
      </c>
      <c r="C431" s="17">
        <v>1998.346</v>
      </c>
      <c r="D431" s="17">
        <v>2345.536</v>
      </c>
      <c r="E431" s="17">
        <v>0</v>
      </c>
      <c r="F431" s="17">
        <v>0</v>
      </c>
      <c r="G431" s="17">
        <v>1</v>
      </c>
      <c r="H431" s="18">
        <v>0</v>
      </c>
      <c r="I431" s="18">
        <v>0</v>
      </c>
      <c r="J431" s="18">
        <v>0</v>
      </c>
      <c r="K431" s="19">
        <v>4</v>
      </c>
      <c r="L431" s="19">
        <v>0</v>
      </c>
      <c r="M431" s="19">
        <v>0</v>
      </c>
      <c r="N431" s="19">
        <v>1</v>
      </c>
      <c r="O431" s="19">
        <v>0</v>
      </c>
      <c r="P431" s="19">
        <v>5.358</v>
      </c>
      <c r="Q431" s="19">
        <v>0</v>
      </c>
      <c r="R431" s="19">
        <v>1</v>
      </c>
    </row>
    <row r="432" ht="16.5" spans="1:18">
      <c r="A432" s="17">
        <v>399811</v>
      </c>
      <c r="B432" s="17" t="s">
        <v>908</v>
      </c>
      <c r="C432" s="17">
        <v>3354.669</v>
      </c>
      <c r="D432" s="17">
        <v>4056.944</v>
      </c>
      <c r="E432" s="17">
        <v>0</v>
      </c>
      <c r="F432" s="17">
        <v>0</v>
      </c>
      <c r="G432" s="17">
        <v>1</v>
      </c>
      <c r="H432" s="18">
        <v>0</v>
      </c>
      <c r="I432" s="18">
        <v>0</v>
      </c>
      <c r="J432" s="18">
        <v>0</v>
      </c>
      <c r="K432" s="19">
        <v>3</v>
      </c>
      <c r="L432" s="19">
        <v>0</v>
      </c>
      <c r="M432" s="19">
        <v>0</v>
      </c>
      <c r="N432" s="19">
        <v>0</v>
      </c>
      <c r="O432" s="19">
        <v>0</v>
      </c>
      <c r="P432" s="19">
        <v>-9.302</v>
      </c>
      <c r="Q432" s="19">
        <v>0</v>
      </c>
      <c r="R432" s="19">
        <v>1</v>
      </c>
    </row>
    <row r="433" ht="16.5" spans="1:18">
      <c r="A433" s="17">
        <v>399850</v>
      </c>
      <c r="B433" s="17" t="s">
        <v>909</v>
      </c>
      <c r="C433" s="17">
        <v>6836.185</v>
      </c>
      <c r="D433" s="17">
        <v>7783.309</v>
      </c>
      <c r="E433" s="17">
        <v>0</v>
      </c>
      <c r="F433" s="17">
        <v>0</v>
      </c>
      <c r="G433" s="17">
        <v>1</v>
      </c>
      <c r="H433" s="18">
        <v>0</v>
      </c>
      <c r="I433" s="18">
        <v>0</v>
      </c>
      <c r="J433" s="18">
        <v>0</v>
      </c>
      <c r="K433" s="19">
        <v>4</v>
      </c>
      <c r="L433" s="19">
        <v>0</v>
      </c>
      <c r="M433" s="19">
        <v>0</v>
      </c>
      <c r="N433" s="19">
        <v>1</v>
      </c>
      <c r="O433" s="19">
        <v>0</v>
      </c>
      <c r="P433" s="19">
        <v>-33.38</v>
      </c>
      <c r="Q433" s="19">
        <v>0</v>
      </c>
      <c r="R433" s="19">
        <v>0</v>
      </c>
    </row>
    <row r="434" ht="16.5" spans="1:18">
      <c r="A434" s="17">
        <v>399901</v>
      </c>
      <c r="B434" s="17" t="s">
        <v>652</v>
      </c>
      <c r="C434" s="17">
        <v>5570.966</v>
      </c>
      <c r="D434" s="17">
        <v>6168.692</v>
      </c>
      <c r="E434" s="17">
        <v>0</v>
      </c>
      <c r="F434" s="17">
        <v>0</v>
      </c>
      <c r="G434" s="17">
        <v>1</v>
      </c>
      <c r="H434" s="18">
        <v>0</v>
      </c>
      <c r="I434" s="18">
        <v>0</v>
      </c>
      <c r="J434" s="18">
        <v>0</v>
      </c>
      <c r="K434" s="19">
        <v>2</v>
      </c>
      <c r="L434" s="19">
        <v>0</v>
      </c>
      <c r="M434" s="19">
        <v>0</v>
      </c>
      <c r="N434" s="19">
        <v>-1</v>
      </c>
      <c r="O434" s="19">
        <v>0</v>
      </c>
      <c r="P434" s="19">
        <v>-14.218</v>
      </c>
      <c r="Q434" s="19">
        <v>0</v>
      </c>
      <c r="R434" s="19">
        <v>0</v>
      </c>
    </row>
    <row r="435" ht="16.5" spans="1:18">
      <c r="A435" s="17">
        <v>399903</v>
      </c>
      <c r="B435" s="17" t="s">
        <v>467</v>
      </c>
      <c r="C435" s="17">
        <v>3522.937</v>
      </c>
      <c r="D435" s="17">
        <v>3886.721</v>
      </c>
      <c r="E435" s="17">
        <v>0</v>
      </c>
      <c r="F435" s="17">
        <v>0</v>
      </c>
      <c r="G435" s="17">
        <v>1</v>
      </c>
      <c r="H435" s="18">
        <v>0</v>
      </c>
      <c r="I435" s="18">
        <v>0</v>
      </c>
      <c r="J435" s="18">
        <v>0</v>
      </c>
      <c r="K435" s="19">
        <v>3</v>
      </c>
      <c r="L435" s="19">
        <v>0</v>
      </c>
      <c r="M435" s="19">
        <v>0</v>
      </c>
      <c r="N435" s="19">
        <v>0</v>
      </c>
      <c r="O435" s="19">
        <v>0</v>
      </c>
      <c r="P435" s="19">
        <v>-8.603</v>
      </c>
      <c r="Q435" s="19">
        <v>0</v>
      </c>
      <c r="R435" s="19">
        <v>0</v>
      </c>
    </row>
    <row r="436" ht="16.5" spans="1:18">
      <c r="A436" s="17">
        <v>399905</v>
      </c>
      <c r="B436" s="17" t="s">
        <v>464</v>
      </c>
      <c r="C436" s="17">
        <v>5317.475</v>
      </c>
      <c r="D436" s="17">
        <v>6201.777</v>
      </c>
      <c r="E436" s="17">
        <v>0</v>
      </c>
      <c r="F436" s="17">
        <v>0</v>
      </c>
      <c r="G436" s="17">
        <v>1</v>
      </c>
      <c r="H436" s="18">
        <v>0</v>
      </c>
      <c r="I436" s="18">
        <v>0</v>
      </c>
      <c r="J436" s="18">
        <v>0</v>
      </c>
      <c r="K436" s="19">
        <v>3</v>
      </c>
      <c r="L436" s="19">
        <v>0</v>
      </c>
      <c r="M436" s="19">
        <v>0</v>
      </c>
      <c r="N436" s="19">
        <v>0</v>
      </c>
      <c r="O436" s="19">
        <v>0</v>
      </c>
      <c r="P436" s="19">
        <v>-16.129</v>
      </c>
      <c r="Q436" s="19">
        <v>0</v>
      </c>
      <c r="R436" s="19">
        <v>0</v>
      </c>
    </row>
    <row r="437" ht="16.5" spans="1:18">
      <c r="A437" s="17">
        <v>399914</v>
      </c>
      <c r="B437" s="17" t="s">
        <v>910</v>
      </c>
      <c r="C437" s="17">
        <v>5820.321</v>
      </c>
      <c r="D437" s="17">
        <v>6490.632</v>
      </c>
      <c r="E437" s="17">
        <v>0</v>
      </c>
      <c r="F437" s="17">
        <v>0</v>
      </c>
      <c r="G437" s="17">
        <v>1</v>
      </c>
      <c r="H437" s="18">
        <v>0</v>
      </c>
      <c r="I437" s="18">
        <v>0</v>
      </c>
      <c r="J437" s="18">
        <v>0</v>
      </c>
      <c r="K437" s="19">
        <v>1</v>
      </c>
      <c r="L437" s="19">
        <v>0</v>
      </c>
      <c r="M437" s="19">
        <v>1</v>
      </c>
      <c r="N437" s="19">
        <v>-1</v>
      </c>
      <c r="O437" s="19">
        <v>0</v>
      </c>
      <c r="P437" s="19">
        <v>-11.567</v>
      </c>
      <c r="Q437" s="19">
        <v>0</v>
      </c>
      <c r="R437" s="19">
        <v>0</v>
      </c>
    </row>
    <row r="438" ht="16.5" spans="1:18">
      <c r="A438" s="17">
        <v>399928</v>
      </c>
      <c r="B438" s="17" t="s">
        <v>669</v>
      </c>
      <c r="C438" s="17">
        <v>2617.096</v>
      </c>
      <c r="D438" s="17">
        <v>3021.424</v>
      </c>
      <c r="E438" s="17">
        <v>0</v>
      </c>
      <c r="F438" s="17">
        <v>0</v>
      </c>
      <c r="G438" s="17">
        <v>1</v>
      </c>
      <c r="H438" s="18">
        <v>0</v>
      </c>
      <c r="I438" s="18">
        <v>0</v>
      </c>
      <c r="J438" s="18">
        <v>0</v>
      </c>
      <c r="K438" s="19">
        <v>4</v>
      </c>
      <c r="L438" s="19">
        <v>1</v>
      </c>
      <c r="M438" s="19">
        <v>0</v>
      </c>
      <c r="N438" s="19">
        <v>1</v>
      </c>
      <c r="O438" s="19">
        <v>0</v>
      </c>
      <c r="P438" s="19">
        <v>-7.034</v>
      </c>
      <c r="Q438" s="19">
        <v>0</v>
      </c>
      <c r="R438" s="19">
        <v>0</v>
      </c>
    </row>
    <row r="439" ht="16.5" spans="1:18">
      <c r="A439" s="17">
        <v>399934</v>
      </c>
      <c r="B439" s="17" t="s">
        <v>673</v>
      </c>
      <c r="C439" s="17">
        <v>5440.426</v>
      </c>
      <c r="D439" s="17">
        <v>6117.233</v>
      </c>
      <c r="E439" s="17">
        <v>0</v>
      </c>
      <c r="F439" s="17">
        <v>0</v>
      </c>
      <c r="G439" s="17">
        <v>1</v>
      </c>
      <c r="H439" s="18">
        <v>0</v>
      </c>
      <c r="I439" s="18">
        <v>0</v>
      </c>
      <c r="J439" s="18">
        <v>0</v>
      </c>
      <c r="K439" s="19">
        <v>4</v>
      </c>
      <c r="L439" s="19">
        <v>0</v>
      </c>
      <c r="M439" s="19">
        <v>0</v>
      </c>
      <c r="N439" s="19">
        <v>1</v>
      </c>
      <c r="O439" s="19">
        <v>0</v>
      </c>
      <c r="P439" s="19">
        <v>-7.812</v>
      </c>
      <c r="Q439" s="19">
        <v>0</v>
      </c>
      <c r="R439" s="19">
        <v>0</v>
      </c>
    </row>
    <row r="440" ht="16.5" spans="1:18">
      <c r="A440" s="17">
        <v>399935</v>
      </c>
      <c r="B440" s="17" t="s">
        <v>674</v>
      </c>
      <c r="C440" s="17">
        <v>4236.58</v>
      </c>
      <c r="D440" s="17">
        <v>5207.021</v>
      </c>
      <c r="E440" s="17">
        <v>0</v>
      </c>
      <c r="F440" s="17">
        <v>0</v>
      </c>
      <c r="G440" s="17">
        <v>1</v>
      </c>
      <c r="H440" s="18">
        <v>0</v>
      </c>
      <c r="I440" s="18">
        <v>0</v>
      </c>
      <c r="J440" s="18">
        <v>0</v>
      </c>
      <c r="K440" s="19">
        <v>3</v>
      </c>
      <c r="L440" s="19">
        <v>1</v>
      </c>
      <c r="M440" s="19">
        <v>0</v>
      </c>
      <c r="N440" s="19">
        <v>0</v>
      </c>
      <c r="O440" s="19">
        <v>0</v>
      </c>
      <c r="P440" s="19">
        <v>-6.833</v>
      </c>
      <c r="Q440" s="19">
        <v>0</v>
      </c>
      <c r="R440" s="19">
        <v>0</v>
      </c>
    </row>
    <row r="441" ht="16.5" spans="1:18">
      <c r="A441" s="17">
        <v>399959</v>
      </c>
      <c r="B441" s="17" t="s">
        <v>911</v>
      </c>
      <c r="C441" s="17">
        <v>1321.368</v>
      </c>
      <c r="D441" s="17">
        <v>1590.901</v>
      </c>
      <c r="E441" s="17">
        <v>0</v>
      </c>
      <c r="F441" s="17">
        <v>0</v>
      </c>
      <c r="G441" s="17">
        <v>1</v>
      </c>
      <c r="H441" s="18">
        <v>0</v>
      </c>
      <c r="I441" s="18">
        <v>0</v>
      </c>
      <c r="J441" s="18">
        <v>0</v>
      </c>
      <c r="K441" s="19">
        <v>4</v>
      </c>
      <c r="L441" s="19">
        <v>0</v>
      </c>
      <c r="M441" s="19">
        <v>0</v>
      </c>
      <c r="N441" s="19">
        <v>1</v>
      </c>
      <c r="O441" s="19">
        <v>0</v>
      </c>
      <c r="P441" s="19">
        <v>-51.979</v>
      </c>
      <c r="Q441" s="19">
        <v>0</v>
      </c>
      <c r="R441" s="19">
        <v>0</v>
      </c>
    </row>
    <row r="442" ht="16.5" spans="1:18">
      <c r="A442" s="17">
        <v>399965</v>
      </c>
      <c r="B442" s="17" t="s">
        <v>912</v>
      </c>
      <c r="C442" s="17">
        <v>2533.97</v>
      </c>
      <c r="D442" s="17">
        <v>3118.919</v>
      </c>
      <c r="E442" s="17">
        <v>0</v>
      </c>
      <c r="F442" s="17">
        <v>0</v>
      </c>
      <c r="G442" s="17">
        <v>1</v>
      </c>
      <c r="H442" s="18">
        <v>0</v>
      </c>
      <c r="I442" s="18">
        <v>0</v>
      </c>
      <c r="J442" s="18">
        <v>0</v>
      </c>
      <c r="K442" s="19">
        <v>3</v>
      </c>
      <c r="L442" s="19">
        <v>0</v>
      </c>
      <c r="M442" s="19">
        <v>0</v>
      </c>
      <c r="N442" s="19">
        <v>0</v>
      </c>
      <c r="O442" s="19">
        <v>0</v>
      </c>
      <c r="P442" s="19">
        <v>-11.726</v>
      </c>
      <c r="Q442" s="19">
        <v>0</v>
      </c>
      <c r="R442" s="19">
        <v>0</v>
      </c>
    </row>
    <row r="443" ht="16.5" spans="1:18">
      <c r="A443" s="17">
        <v>399966</v>
      </c>
      <c r="B443" s="17" t="s">
        <v>913</v>
      </c>
      <c r="C443" s="17">
        <v>5464.196</v>
      </c>
      <c r="D443" s="17">
        <v>6692.699</v>
      </c>
      <c r="E443" s="17">
        <v>0</v>
      </c>
      <c r="F443" s="17">
        <v>0</v>
      </c>
      <c r="G443" s="17">
        <v>1</v>
      </c>
      <c r="H443" s="18">
        <v>0</v>
      </c>
      <c r="I443" s="18">
        <v>0</v>
      </c>
      <c r="J443" s="18">
        <v>0</v>
      </c>
      <c r="K443" s="19">
        <v>4</v>
      </c>
      <c r="L443" s="19">
        <v>0</v>
      </c>
      <c r="M443" s="19">
        <v>0</v>
      </c>
      <c r="N443" s="19">
        <v>1</v>
      </c>
      <c r="O443" s="19">
        <v>0</v>
      </c>
      <c r="P443" s="19">
        <v>-69.279</v>
      </c>
      <c r="Q443" s="19">
        <v>0</v>
      </c>
      <c r="R443" s="19">
        <v>0</v>
      </c>
    </row>
    <row r="444" ht="16.5" spans="1:18">
      <c r="A444" s="17">
        <v>399967</v>
      </c>
      <c r="B444" s="17" t="s">
        <v>914</v>
      </c>
      <c r="C444" s="17">
        <v>9604.38</v>
      </c>
      <c r="D444" s="17">
        <v>11601.971</v>
      </c>
      <c r="E444" s="17">
        <v>0</v>
      </c>
      <c r="F444" s="17">
        <v>0</v>
      </c>
      <c r="G444" s="17">
        <v>1</v>
      </c>
      <c r="H444" s="18">
        <v>0</v>
      </c>
      <c r="I444" s="18">
        <v>0</v>
      </c>
      <c r="J444" s="18">
        <v>0</v>
      </c>
      <c r="K444" s="19">
        <v>3</v>
      </c>
      <c r="L444" s="19">
        <v>0</v>
      </c>
      <c r="M444" s="19">
        <v>0</v>
      </c>
      <c r="N444" s="19">
        <v>0</v>
      </c>
      <c r="O444" s="19">
        <v>0</v>
      </c>
      <c r="P444" s="19">
        <v>-29.145</v>
      </c>
      <c r="Q444" s="19">
        <v>0</v>
      </c>
      <c r="R444" s="19">
        <v>0</v>
      </c>
    </row>
    <row r="445" ht="16.5" spans="1:18">
      <c r="A445" s="17">
        <v>399970</v>
      </c>
      <c r="B445" s="17" t="s">
        <v>915</v>
      </c>
      <c r="C445" s="17">
        <v>2938.572</v>
      </c>
      <c r="D445" s="17">
        <v>3665.477</v>
      </c>
      <c r="E445" s="17">
        <v>0</v>
      </c>
      <c r="F445" s="17">
        <v>0</v>
      </c>
      <c r="G445" s="17">
        <v>1</v>
      </c>
      <c r="H445" s="18">
        <v>0</v>
      </c>
      <c r="I445" s="18">
        <v>0</v>
      </c>
      <c r="J445" s="18">
        <v>0</v>
      </c>
      <c r="K445" s="19">
        <v>3</v>
      </c>
      <c r="L445" s="19">
        <v>2</v>
      </c>
      <c r="M445" s="19">
        <v>0</v>
      </c>
      <c r="N445" s="19">
        <v>-1</v>
      </c>
      <c r="O445" s="19">
        <v>0</v>
      </c>
      <c r="P445" s="19">
        <v>-7.83</v>
      </c>
      <c r="Q445" s="19">
        <v>0</v>
      </c>
      <c r="R445" s="19">
        <v>0</v>
      </c>
    </row>
    <row r="446" ht="16.5" spans="1:18">
      <c r="A446" s="17">
        <v>399972</v>
      </c>
      <c r="B446" s="17" t="s">
        <v>916</v>
      </c>
      <c r="C446" s="17">
        <v>4196.407</v>
      </c>
      <c r="D446" s="17">
        <v>4783.623</v>
      </c>
      <c r="E446" s="17">
        <v>0</v>
      </c>
      <c r="F446" s="17">
        <v>0</v>
      </c>
      <c r="G446" s="17">
        <v>1</v>
      </c>
      <c r="H446" s="18">
        <v>0</v>
      </c>
      <c r="I446" s="18">
        <v>0</v>
      </c>
      <c r="J446" s="18">
        <v>0</v>
      </c>
      <c r="K446" s="19">
        <v>4</v>
      </c>
      <c r="L446" s="19">
        <v>0</v>
      </c>
      <c r="M446" s="19">
        <v>0</v>
      </c>
      <c r="N446" s="19">
        <v>1</v>
      </c>
      <c r="O446" s="19">
        <v>0</v>
      </c>
      <c r="P446" s="19">
        <v>-13.203</v>
      </c>
      <c r="Q446" s="19">
        <v>0</v>
      </c>
      <c r="R446" s="19">
        <v>0</v>
      </c>
    </row>
    <row r="447" ht="16.5" spans="1:18">
      <c r="A447" s="17">
        <v>399974</v>
      </c>
      <c r="B447" s="17" t="s">
        <v>461</v>
      </c>
      <c r="C447" s="17">
        <v>1606.558</v>
      </c>
      <c r="D447" s="17">
        <v>1790.978</v>
      </c>
      <c r="E447" s="17">
        <v>0</v>
      </c>
      <c r="F447" s="17">
        <v>0</v>
      </c>
      <c r="G447" s="17">
        <v>1</v>
      </c>
      <c r="H447" s="18">
        <v>0</v>
      </c>
      <c r="I447" s="18">
        <v>0</v>
      </c>
      <c r="J447" s="18">
        <v>0</v>
      </c>
      <c r="K447" s="19">
        <v>2</v>
      </c>
      <c r="L447" s="19">
        <v>0</v>
      </c>
      <c r="M447" s="19">
        <v>1</v>
      </c>
      <c r="N447" s="19">
        <v>-1</v>
      </c>
      <c r="O447" s="19">
        <v>0</v>
      </c>
      <c r="P447" s="19">
        <v>-11.31</v>
      </c>
      <c r="Q447" s="19">
        <v>0</v>
      </c>
      <c r="R447" s="19">
        <v>0</v>
      </c>
    </row>
    <row r="448" ht="16.5" spans="1:18">
      <c r="A448" s="17">
        <v>399975</v>
      </c>
      <c r="B448" s="17" t="s">
        <v>917</v>
      </c>
      <c r="C448" s="17">
        <v>739.353</v>
      </c>
      <c r="D448" s="17">
        <v>916.402</v>
      </c>
      <c r="E448" s="17">
        <v>0</v>
      </c>
      <c r="F448" s="17">
        <v>0</v>
      </c>
      <c r="G448" s="17">
        <v>1</v>
      </c>
      <c r="H448" s="18">
        <v>0</v>
      </c>
      <c r="I448" s="18">
        <v>0</v>
      </c>
      <c r="J448" s="18">
        <v>0</v>
      </c>
      <c r="K448" s="19">
        <v>2</v>
      </c>
      <c r="L448" s="19">
        <v>1</v>
      </c>
      <c r="M448" s="19">
        <v>0</v>
      </c>
      <c r="N448" s="19">
        <v>0</v>
      </c>
      <c r="O448" s="19">
        <v>0</v>
      </c>
      <c r="P448" s="19">
        <v>-0.441</v>
      </c>
      <c r="Q448" s="19">
        <v>0</v>
      </c>
      <c r="R448" s="19">
        <v>0</v>
      </c>
    </row>
    <row r="449" ht="16.5" spans="1:18">
      <c r="A449" s="17">
        <v>399976</v>
      </c>
      <c r="B449" s="17" t="s">
        <v>918</v>
      </c>
      <c r="C449" s="17">
        <v>2677.316</v>
      </c>
      <c r="D449" s="17">
        <v>3321.295</v>
      </c>
      <c r="E449" s="17">
        <v>0</v>
      </c>
      <c r="F449" s="17">
        <v>0</v>
      </c>
      <c r="G449" s="17">
        <v>1</v>
      </c>
      <c r="H449" s="18">
        <v>0</v>
      </c>
      <c r="I449" s="18">
        <v>0</v>
      </c>
      <c r="J449" s="18">
        <v>0</v>
      </c>
      <c r="K449" s="19">
        <v>3</v>
      </c>
      <c r="L449" s="19">
        <v>0</v>
      </c>
      <c r="M449" s="19">
        <v>0</v>
      </c>
      <c r="N449" s="19">
        <v>0</v>
      </c>
      <c r="O449" s="19">
        <v>0</v>
      </c>
      <c r="P449" s="19">
        <v>-25.712</v>
      </c>
      <c r="Q449" s="19">
        <v>0</v>
      </c>
      <c r="R449" s="19">
        <v>-1</v>
      </c>
    </row>
    <row r="450" ht="16.5" spans="1:18">
      <c r="A450" s="17">
        <v>399983</v>
      </c>
      <c r="B450" s="17" t="s">
        <v>919</v>
      </c>
      <c r="C450" s="17">
        <v>2141.594</v>
      </c>
      <c r="D450" s="17">
        <v>2635.585</v>
      </c>
      <c r="E450" s="17">
        <v>0</v>
      </c>
      <c r="F450" s="17">
        <v>0</v>
      </c>
      <c r="G450" s="17">
        <v>1</v>
      </c>
      <c r="H450" s="18">
        <v>0</v>
      </c>
      <c r="I450" s="18">
        <v>0</v>
      </c>
      <c r="J450" s="18">
        <v>0</v>
      </c>
      <c r="K450" s="19">
        <v>4</v>
      </c>
      <c r="L450" s="19">
        <v>0</v>
      </c>
      <c r="M450" s="19">
        <v>0</v>
      </c>
      <c r="N450" s="19">
        <v>0</v>
      </c>
      <c r="O450" s="19">
        <v>0</v>
      </c>
      <c r="P450" s="19">
        <v>-25.596</v>
      </c>
      <c r="Q450" s="19">
        <v>0</v>
      </c>
      <c r="R450" s="19">
        <v>0</v>
      </c>
    </row>
    <row r="451" ht="16.5" spans="1:18">
      <c r="A451" s="17">
        <v>399990</v>
      </c>
      <c r="B451" s="17" t="s">
        <v>920</v>
      </c>
      <c r="C451" s="17">
        <v>2647.021</v>
      </c>
      <c r="D451" s="17">
        <v>3060.509</v>
      </c>
      <c r="E451" s="17">
        <v>0</v>
      </c>
      <c r="F451" s="17">
        <v>0</v>
      </c>
      <c r="G451" s="17">
        <v>1</v>
      </c>
      <c r="H451" s="18">
        <v>0</v>
      </c>
      <c r="I451" s="18">
        <v>0</v>
      </c>
      <c r="J451" s="18">
        <v>0</v>
      </c>
      <c r="K451" s="19">
        <v>3</v>
      </c>
      <c r="L451" s="19">
        <v>0</v>
      </c>
      <c r="M451" s="19">
        <v>1</v>
      </c>
      <c r="N451" s="19">
        <v>-1</v>
      </c>
      <c r="O451" s="19">
        <v>0</v>
      </c>
      <c r="P451" s="19">
        <v>-13.487</v>
      </c>
      <c r="Q451" s="19">
        <v>-1</v>
      </c>
      <c r="R451" s="19">
        <v>0</v>
      </c>
    </row>
    <row r="452" ht="16.5" spans="1:18">
      <c r="A452" s="17">
        <v>399991</v>
      </c>
      <c r="B452" s="17" t="s">
        <v>921</v>
      </c>
      <c r="C452" s="17">
        <v>1953.451</v>
      </c>
      <c r="D452" s="17">
        <v>2169.148</v>
      </c>
      <c r="E452" s="17">
        <v>0</v>
      </c>
      <c r="F452" s="17">
        <v>0</v>
      </c>
      <c r="G452" s="17">
        <v>1</v>
      </c>
      <c r="H452" s="18">
        <v>0</v>
      </c>
      <c r="I452" s="18">
        <v>0</v>
      </c>
      <c r="J452" s="18">
        <v>0</v>
      </c>
      <c r="K452" s="19">
        <v>2</v>
      </c>
      <c r="L452" s="19">
        <v>0</v>
      </c>
      <c r="M452" s="19">
        <v>0</v>
      </c>
      <c r="N452" s="19">
        <v>0</v>
      </c>
      <c r="O452" s="19">
        <v>0</v>
      </c>
      <c r="P452" s="19">
        <v>-9.412</v>
      </c>
      <c r="Q452" s="19">
        <v>0</v>
      </c>
      <c r="R452" s="19">
        <v>0</v>
      </c>
    </row>
    <row r="453" ht="16.5" spans="1:18">
      <c r="A453" s="17">
        <v>399992</v>
      </c>
      <c r="B453" s="17" t="s">
        <v>922</v>
      </c>
      <c r="C453" s="17">
        <v>1553.075</v>
      </c>
      <c r="D453" s="17">
        <v>1911.721</v>
      </c>
      <c r="E453" s="17">
        <v>0</v>
      </c>
      <c r="F453" s="17">
        <v>0</v>
      </c>
      <c r="G453" s="17">
        <v>1</v>
      </c>
      <c r="H453" s="18">
        <v>0</v>
      </c>
      <c r="I453" s="18">
        <v>0</v>
      </c>
      <c r="J453" s="18">
        <v>0</v>
      </c>
      <c r="K453" s="19">
        <v>3</v>
      </c>
      <c r="L453" s="19">
        <v>0</v>
      </c>
      <c r="M453" s="19">
        <v>0</v>
      </c>
      <c r="N453" s="19">
        <v>0</v>
      </c>
      <c r="O453" s="19">
        <v>0</v>
      </c>
      <c r="P453" s="19">
        <v>-9.058</v>
      </c>
      <c r="Q453" s="19">
        <v>0</v>
      </c>
      <c r="R453" s="19">
        <v>0</v>
      </c>
    </row>
    <row r="454" ht="16.5" spans="1:18">
      <c r="A454" s="17">
        <v>399995</v>
      </c>
      <c r="B454" s="17" t="s">
        <v>923</v>
      </c>
      <c r="C454" s="17">
        <v>3421.566</v>
      </c>
      <c r="D454" s="17">
        <v>4020.197</v>
      </c>
      <c r="E454" s="17">
        <v>0</v>
      </c>
      <c r="F454" s="17">
        <v>0</v>
      </c>
      <c r="G454" s="17">
        <v>1</v>
      </c>
      <c r="H454" s="18">
        <v>0</v>
      </c>
      <c r="I454" s="18">
        <v>0</v>
      </c>
      <c r="J454" s="18">
        <v>0</v>
      </c>
      <c r="K454" s="19">
        <v>2</v>
      </c>
      <c r="L454" s="19">
        <v>0</v>
      </c>
      <c r="M454" s="19">
        <v>0</v>
      </c>
      <c r="N454" s="19">
        <v>0</v>
      </c>
      <c r="O454" s="19">
        <v>0</v>
      </c>
      <c r="P454" s="19">
        <v>-6.238</v>
      </c>
      <c r="Q454" s="19">
        <v>0</v>
      </c>
      <c r="R454" s="19">
        <v>0</v>
      </c>
    </row>
    <row r="455" ht="16.5" spans="1:18">
      <c r="A455" s="17">
        <v>399998</v>
      </c>
      <c r="B455" s="17" t="s">
        <v>924</v>
      </c>
      <c r="C455" s="17">
        <v>1913.752</v>
      </c>
      <c r="D455" s="17">
        <v>2277.318</v>
      </c>
      <c r="E455" s="17">
        <v>0</v>
      </c>
      <c r="F455" s="17">
        <v>0</v>
      </c>
      <c r="G455" s="17">
        <v>1</v>
      </c>
      <c r="H455" s="18">
        <v>0</v>
      </c>
      <c r="I455" s="18">
        <v>0</v>
      </c>
      <c r="J455" s="18">
        <v>0</v>
      </c>
      <c r="K455" s="19">
        <v>3</v>
      </c>
      <c r="L455" s="19">
        <v>0</v>
      </c>
      <c r="M455" s="19">
        <v>0</v>
      </c>
      <c r="N455" s="19">
        <v>0</v>
      </c>
      <c r="O455" s="19">
        <v>0</v>
      </c>
      <c r="P455" s="19">
        <v>-11.683</v>
      </c>
      <c r="Q455" s="19">
        <v>0</v>
      </c>
      <c r="R455" s="19">
        <v>0</v>
      </c>
    </row>
    <row r="456" ht="16.5" spans="1:18">
      <c r="A456" s="17">
        <v>980015</v>
      </c>
      <c r="B456" s="17" t="s">
        <v>925</v>
      </c>
      <c r="C456" s="17">
        <v>5896.268</v>
      </c>
      <c r="D456" s="17">
        <v>7033.305</v>
      </c>
      <c r="E456" s="17">
        <v>0</v>
      </c>
      <c r="F456" s="17">
        <v>0</v>
      </c>
      <c r="G456" s="17">
        <v>1</v>
      </c>
      <c r="H456" s="18">
        <v>0</v>
      </c>
      <c r="I456" s="18">
        <v>0</v>
      </c>
      <c r="J456" s="18">
        <v>0</v>
      </c>
      <c r="K456" s="19">
        <v>3</v>
      </c>
      <c r="L456" s="19">
        <v>0</v>
      </c>
      <c r="M456" s="19">
        <v>0</v>
      </c>
      <c r="N456" s="19">
        <v>0</v>
      </c>
      <c r="O456" s="19">
        <v>0</v>
      </c>
      <c r="P456" s="19">
        <v>-3.538</v>
      </c>
      <c r="Q456" s="19">
        <v>0</v>
      </c>
      <c r="R456" s="19">
        <v>1</v>
      </c>
    </row>
    <row r="457" ht="16.5" spans="1:18">
      <c r="A457" s="17">
        <v>980027</v>
      </c>
      <c r="B457" s="17" t="s">
        <v>926</v>
      </c>
      <c r="C457" s="17">
        <v>2044.239</v>
      </c>
      <c r="D457" s="17">
        <v>2322.747</v>
      </c>
      <c r="E457" s="17">
        <v>0</v>
      </c>
      <c r="F457" s="17">
        <v>0</v>
      </c>
      <c r="G457" s="17">
        <v>1</v>
      </c>
      <c r="H457" s="18">
        <v>0</v>
      </c>
      <c r="I457" s="18">
        <v>0</v>
      </c>
      <c r="J457" s="18">
        <v>0</v>
      </c>
      <c r="K457" s="19">
        <v>4</v>
      </c>
      <c r="L457" s="19">
        <v>0</v>
      </c>
      <c r="M457" s="19">
        <v>0</v>
      </c>
      <c r="N457" s="19">
        <v>0</v>
      </c>
      <c r="O457" s="19">
        <v>0</v>
      </c>
      <c r="P457" s="19">
        <v>-1.88</v>
      </c>
      <c r="Q457" s="19">
        <v>0</v>
      </c>
      <c r="R457" s="19">
        <v>0</v>
      </c>
    </row>
    <row r="458" ht="16.5" spans="1:18">
      <c r="A458" s="17">
        <v>980028</v>
      </c>
      <c r="B458" s="17" t="s">
        <v>927</v>
      </c>
      <c r="C458" s="17">
        <v>10969.997</v>
      </c>
      <c r="D458" s="17">
        <v>11997.025</v>
      </c>
      <c r="E458" s="17">
        <v>0</v>
      </c>
      <c r="F458" s="17">
        <v>0</v>
      </c>
      <c r="G458" s="17">
        <v>1</v>
      </c>
      <c r="H458" s="18">
        <v>0</v>
      </c>
      <c r="I458" s="18">
        <v>0</v>
      </c>
      <c r="J458" s="18">
        <v>0</v>
      </c>
      <c r="K458" s="19">
        <v>3</v>
      </c>
      <c r="L458" s="19">
        <v>0</v>
      </c>
      <c r="M458" s="19">
        <v>0</v>
      </c>
      <c r="N458" s="19">
        <v>0</v>
      </c>
      <c r="O458" s="19">
        <v>0</v>
      </c>
      <c r="P458" s="19">
        <v>-18.853</v>
      </c>
      <c r="Q458" s="19">
        <v>0</v>
      </c>
      <c r="R458" s="19">
        <v>0</v>
      </c>
    </row>
    <row r="459" ht="16.5" spans="1:18">
      <c r="A459" s="17">
        <v>980030</v>
      </c>
      <c r="B459" s="17" t="s">
        <v>928</v>
      </c>
      <c r="C459" s="17">
        <v>4892.177</v>
      </c>
      <c r="D459" s="17">
        <v>6028.048</v>
      </c>
      <c r="E459" s="17">
        <v>0</v>
      </c>
      <c r="F459" s="17">
        <v>0</v>
      </c>
      <c r="G459" s="17">
        <v>1</v>
      </c>
      <c r="H459" s="18">
        <v>0</v>
      </c>
      <c r="I459" s="18">
        <v>0</v>
      </c>
      <c r="J459" s="18">
        <v>0</v>
      </c>
      <c r="K459" s="19">
        <v>1</v>
      </c>
      <c r="L459" s="19">
        <v>1</v>
      </c>
      <c r="M459" s="19">
        <v>0</v>
      </c>
      <c r="N459" s="19">
        <v>0</v>
      </c>
      <c r="O459" s="19">
        <v>0</v>
      </c>
      <c r="P459" s="19">
        <v>-6.078</v>
      </c>
      <c r="Q459" s="19">
        <v>0</v>
      </c>
      <c r="R459" s="19">
        <v>0</v>
      </c>
    </row>
    <row r="460" ht="16.5" spans="1:18">
      <c r="A460" s="17">
        <v>980032</v>
      </c>
      <c r="B460" s="17" t="s">
        <v>929</v>
      </c>
      <c r="C460" s="17">
        <v>8975.227</v>
      </c>
      <c r="D460" s="17">
        <v>11193.294</v>
      </c>
      <c r="E460" s="17">
        <v>0</v>
      </c>
      <c r="F460" s="17">
        <v>0</v>
      </c>
      <c r="G460" s="17">
        <v>1</v>
      </c>
      <c r="H460" s="18">
        <v>0</v>
      </c>
      <c r="I460" s="18">
        <v>0</v>
      </c>
      <c r="J460" s="18">
        <v>0</v>
      </c>
      <c r="K460" s="19">
        <v>4</v>
      </c>
      <c r="L460" s="19">
        <v>0</v>
      </c>
      <c r="M460" s="19">
        <v>0</v>
      </c>
      <c r="N460" s="19">
        <v>1</v>
      </c>
      <c r="O460" s="19">
        <v>0</v>
      </c>
      <c r="P460" s="19">
        <v>-9.509</v>
      </c>
      <c r="Q460" s="19">
        <v>0</v>
      </c>
      <c r="R460" s="19">
        <v>0</v>
      </c>
    </row>
    <row r="461" ht="16.5" spans="1:18">
      <c r="A461" s="17">
        <v>980076</v>
      </c>
      <c r="B461" s="17" t="s">
        <v>930</v>
      </c>
      <c r="C461" s="17">
        <v>2563.56</v>
      </c>
      <c r="D461" s="17">
        <v>3117.929</v>
      </c>
      <c r="E461" s="17">
        <v>0</v>
      </c>
      <c r="F461" s="17">
        <v>0</v>
      </c>
      <c r="G461" s="17">
        <v>1</v>
      </c>
      <c r="H461" s="18">
        <v>0</v>
      </c>
      <c r="I461" s="18">
        <v>0</v>
      </c>
      <c r="J461" s="18">
        <v>0</v>
      </c>
      <c r="K461" s="19">
        <v>3</v>
      </c>
      <c r="L461" s="19">
        <v>0</v>
      </c>
      <c r="M461" s="19">
        <v>1</v>
      </c>
      <c r="N461" s="19">
        <v>-1</v>
      </c>
      <c r="O461" s="19">
        <v>0</v>
      </c>
      <c r="P461" s="19">
        <v>-19.929</v>
      </c>
      <c r="Q461" s="19">
        <v>-1</v>
      </c>
      <c r="R461" s="19">
        <v>0</v>
      </c>
    </row>
    <row r="462" ht="16.5" spans="1:18">
      <c r="A462" s="17">
        <v>980092</v>
      </c>
      <c r="B462" s="17" t="s">
        <v>931</v>
      </c>
      <c r="C462" s="17">
        <v>4453.386</v>
      </c>
      <c r="D462" s="17">
        <v>4795.107</v>
      </c>
      <c r="E462" s="17">
        <v>0</v>
      </c>
      <c r="F462" s="17">
        <v>0</v>
      </c>
      <c r="G462" s="17">
        <v>1</v>
      </c>
      <c r="H462" s="18">
        <v>0</v>
      </c>
      <c r="I462" s="18">
        <v>0</v>
      </c>
      <c r="J462" s="18">
        <v>0</v>
      </c>
      <c r="K462" s="19">
        <v>3</v>
      </c>
      <c r="L462" s="19">
        <v>2</v>
      </c>
      <c r="M462" s="19">
        <v>0</v>
      </c>
      <c r="N462" s="19">
        <v>1</v>
      </c>
      <c r="O462" s="19">
        <v>0</v>
      </c>
      <c r="P462" s="19">
        <v>-4.726</v>
      </c>
      <c r="Q462" s="19">
        <v>0</v>
      </c>
      <c r="R462" s="19">
        <v>0</v>
      </c>
    </row>
    <row r="463" ht="16.5" spans="1:18">
      <c r="A463" s="17">
        <v>988006</v>
      </c>
      <c r="B463" s="17" t="s">
        <v>932</v>
      </c>
      <c r="C463" s="17">
        <v>1811.004</v>
      </c>
      <c r="D463" s="17">
        <v>2212.046</v>
      </c>
      <c r="E463" s="17">
        <v>0</v>
      </c>
      <c r="F463" s="17">
        <v>0</v>
      </c>
      <c r="G463" s="17">
        <v>1</v>
      </c>
      <c r="H463" s="18">
        <v>0</v>
      </c>
      <c r="I463" s="18">
        <v>0</v>
      </c>
      <c r="J463" s="18">
        <v>0</v>
      </c>
      <c r="K463" s="19">
        <v>3</v>
      </c>
      <c r="L463" s="19">
        <v>0</v>
      </c>
      <c r="M463" s="19">
        <v>0</v>
      </c>
      <c r="N463" s="19">
        <v>0</v>
      </c>
      <c r="O463" s="19">
        <v>0</v>
      </c>
      <c r="P463" s="19">
        <v>-11.989</v>
      </c>
      <c r="Q463" s="19">
        <v>0</v>
      </c>
      <c r="R463" s="19">
        <v>0</v>
      </c>
    </row>
    <row r="464" ht="16.5" spans="1:18">
      <c r="A464" s="17">
        <v>988007</v>
      </c>
      <c r="B464" s="17" t="s">
        <v>933</v>
      </c>
      <c r="C464" s="17">
        <v>1810.837</v>
      </c>
      <c r="D464" s="17">
        <v>2215.862</v>
      </c>
      <c r="E464" s="17">
        <v>0</v>
      </c>
      <c r="F464" s="17">
        <v>0</v>
      </c>
      <c r="G464" s="17">
        <v>1</v>
      </c>
      <c r="H464" s="18">
        <v>0</v>
      </c>
      <c r="I464" s="18">
        <v>0</v>
      </c>
      <c r="J464" s="18">
        <v>0</v>
      </c>
      <c r="K464" s="19">
        <v>3</v>
      </c>
      <c r="L464" s="19">
        <v>1</v>
      </c>
      <c r="M464" s="19">
        <v>0</v>
      </c>
      <c r="N464" s="19">
        <v>1</v>
      </c>
      <c r="O464" s="19">
        <v>0</v>
      </c>
      <c r="P464" s="19">
        <v>0.77</v>
      </c>
      <c r="Q464" s="19">
        <v>0</v>
      </c>
      <c r="R464" s="19">
        <v>0</v>
      </c>
    </row>
    <row r="465" ht="16.5" spans="1:18">
      <c r="A465" s="17">
        <v>988106</v>
      </c>
      <c r="B465" s="17" t="s">
        <v>934</v>
      </c>
      <c r="C465" s="17">
        <v>1981.352</v>
      </c>
      <c r="D465" s="17">
        <v>2420.648</v>
      </c>
      <c r="E465" s="17">
        <v>0</v>
      </c>
      <c r="F465" s="17">
        <v>0</v>
      </c>
      <c r="G465" s="17">
        <v>1</v>
      </c>
      <c r="H465" s="18">
        <v>0</v>
      </c>
      <c r="I465" s="18">
        <v>0</v>
      </c>
      <c r="J465" s="18">
        <v>0</v>
      </c>
      <c r="K465" s="19">
        <v>2</v>
      </c>
      <c r="L465" s="19">
        <v>0</v>
      </c>
      <c r="M465" s="19">
        <v>0</v>
      </c>
      <c r="N465" s="19">
        <v>0</v>
      </c>
      <c r="O465" s="19">
        <v>0</v>
      </c>
      <c r="P465" s="19">
        <v>-20.505</v>
      </c>
      <c r="Q465" s="19">
        <v>0</v>
      </c>
      <c r="R465" s="19">
        <v>1</v>
      </c>
    </row>
    <row r="466" ht="16.5" spans="1:18">
      <c r="A466" s="17">
        <v>988107</v>
      </c>
      <c r="B466" s="17" t="s">
        <v>935</v>
      </c>
      <c r="C466" s="17">
        <v>1981.162</v>
      </c>
      <c r="D466" s="17">
        <v>2424.817</v>
      </c>
      <c r="E466" s="17">
        <v>0</v>
      </c>
      <c r="F466" s="17">
        <v>0</v>
      </c>
      <c r="G466" s="17">
        <v>1</v>
      </c>
      <c r="H466" s="18">
        <v>0</v>
      </c>
      <c r="I466" s="18">
        <v>0</v>
      </c>
      <c r="J466" s="18">
        <v>0</v>
      </c>
      <c r="K466" s="19">
        <v>2</v>
      </c>
      <c r="L466" s="19">
        <v>0</v>
      </c>
      <c r="M466" s="19">
        <v>0</v>
      </c>
      <c r="N466" s="19">
        <v>0</v>
      </c>
      <c r="O466" s="19">
        <v>0</v>
      </c>
      <c r="P466" s="19">
        <v>-31.925</v>
      </c>
      <c r="Q466" s="19">
        <v>0</v>
      </c>
      <c r="R466" s="19">
        <v>0</v>
      </c>
    </row>
    <row r="467" ht="16.5" spans="1:18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9"/>
      <c r="L467" s="19"/>
      <c r="M467" s="19"/>
      <c r="N467" s="19"/>
      <c r="O467" s="19"/>
      <c r="P467" s="19"/>
      <c r="Q467" s="19"/>
      <c r="R467" s="19"/>
    </row>
    <row r="468" ht="16.5" spans="1:18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9"/>
      <c r="L468" s="19"/>
      <c r="M468" s="19"/>
      <c r="N468" s="19"/>
      <c r="O468" s="19"/>
      <c r="P468" s="19"/>
      <c r="Q468" s="19"/>
      <c r="R468" s="19"/>
    </row>
    <row r="469" ht="16.5" spans="1:18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9"/>
      <c r="L469" s="19"/>
      <c r="M469" s="19"/>
      <c r="N469" s="19"/>
      <c r="O469" s="19"/>
      <c r="P469" s="19"/>
      <c r="Q469" s="19"/>
      <c r="R469" s="19"/>
    </row>
    <row r="470" ht="16.5" spans="1:18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9"/>
      <c r="L470" s="19"/>
      <c r="M470" s="19"/>
      <c r="N470" s="19"/>
      <c r="O470" s="19"/>
      <c r="P470" s="19"/>
      <c r="Q470" s="19"/>
      <c r="R470" s="19"/>
    </row>
    <row r="471" ht="16.5" spans="1:18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9"/>
      <c r="L471" s="19"/>
      <c r="M471" s="19"/>
      <c r="N471" s="19"/>
      <c r="O471" s="19"/>
      <c r="P471" s="19"/>
      <c r="Q471" s="19"/>
      <c r="R471" s="19"/>
    </row>
    <row r="472" ht="16.5" spans="1:18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9"/>
      <c r="L472" s="19"/>
      <c r="M472" s="19"/>
      <c r="N472" s="19"/>
      <c r="O472" s="19"/>
      <c r="P472" s="19"/>
      <c r="Q472" s="19"/>
      <c r="R472" s="19"/>
    </row>
    <row r="473" ht="16.5" spans="1:18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9"/>
      <c r="L473" s="19"/>
      <c r="M473" s="19"/>
      <c r="N473" s="19"/>
      <c r="O473" s="19"/>
      <c r="P473" s="19"/>
      <c r="Q473" s="19"/>
      <c r="R473" s="19"/>
    </row>
    <row r="474" ht="16.5" spans="1:18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9"/>
      <c r="L474" s="19"/>
      <c r="M474" s="19"/>
      <c r="N474" s="19"/>
      <c r="O474" s="19"/>
      <c r="P474" s="19"/>
      <c r="Q474" s="19"/>
      <c r="R474" s="19"/>
    </row>
    <row r="475" ht="16.5" spans="1:18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9"/>
      <c r="L475" s="19"/>
      <c r="M475" s="19"/>
      <c r="N475" s="19"/>
      <c r="O475" s="19"/>
      <c r="P475" s="19"/>
      <c r="Q475" s="19"/>
      <c r="R475" s="19"/>
    </row>
    <row r="476" ht="16.5" spans="1:18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9"/>
      <c r="L476" s="19"/>
      <c r="M476" s="19"/>
      <c r="N476" s="19"/>
      <c r="O476" s="19"/>
      <c r="P476" s="19"/>
      <c r="Q476" s="19"/>
      <c r="R476" s="19"/>
    </row>
    <row r="477" ht="16.5" spans="1:18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9"/>
      <c r="L477" s="19"/>
      <c r="M477" s="19"/>
      <c r="N477" s="19"/>
      <c r="O477" s="19"/>
      <c r="P477" s="19"/>
      <c r="Q477" s="19"/>
      <c r="R477" s="19"/>
    </row>
    <row r="478" ht="16.5" spans="1:1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9"/>
      <c r="L478" s="19"/>
      <c r="M478" s="19"/>
      <c r="N478" s="19"/>
      <c r="O478" s="19"/>
      <c r="P478" s="19"/>
      <c r="Q478" s="19"/>
      <c r="R478" s="19"/>
    </row>
    <row r="479" ht="16.5" spans="1:18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9"/>
      <c r="L479" s="19"/>
      <c r="M479" s="19"/>
      <c r="N479" s="19"/>
      <c r="O479" s="19"/>
      <c r="P479" s="19"/>
      <c r="Q479" s="19"/>
      <c r="R479" s="19"/>
    </row>
    <row r="480" ht="16.5" spans="1:18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9"/>
      <c r="L480" s="19"/>
      <c r="M480" s="19"/>
      <c r="N480" s="19"/>
      <c r="O480" s="19"/>
      <c r="P480" s="19"/>
      <c r="Q480" s="19"/>
      <c r="R480" s="19"/>
    </row>
    <row r="481" ht="16.5" spans="1:18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9"/>
      <c r="L481" s="19"/>
      <c r="M481" s="19"/>
      <c r="N481" s="19"/>
      <c r="O481" s="19"/>
      <c r="P481" s="19"/>
      <c r="Q481" s="19"/>
      <c r="R481" s="19"/>
    </row>
    <row r="482" ht="16.5" spans="1:18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9"/>
      <c r="L482" s="19"/>
      <c r="M482" s="19"/>
      <c r="N482" s="19"/>
      <c r="O482" s="19"/>
      <c r="P482" s="19"/>
      <c r="Q482" s="19"/>
      <c r="R482" s="19"/>
    </row>
    <row r="483" ht="16.5" spans="1:18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9"/>
      <c r="L483" s="19"/>
      <c r="M483" s="19"/>
      <c r="N483" s="19"/>
      <c r="O483" s="19"/>
      <c r="P483" s="19"/>
      <c r="Q483" s="19"/>
      <c r="R483" s="19"/>
    </row>
    <row r="484" ht="16.5" spans="1:18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9"/>
      <c r="L484" s="19"/>
      <c r="M484" s="19"/>
      <c r="N484" s="19"/>
      <c r="O484" s="19"/>
      <c r="P484" s="19"/>
      <c r="Q484" s="19"/>
      <c r="R484" s="19"/>
    </row>
    <row r="485" ht="16.5" spans="1:18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9"/>
      <c r="L485" s="19"/>
      <c r="M485" s="19"/>
      <c r="N485" s="19"/>
      <c r="O485" s="19"/>
      <c r="P485" s="19"/>
      <c r="Q485" s="19"/>
      <c r="R485" s="19"/>
    </row>
    <row r="486" ht="16.5" spans="1:18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9"/>
      <c r="L486" s="19"/>
      <c r="M486" s="19"/>
      <c r="N486" s="19"/>
      <c r="O486" s="19"/>
      <c r="P486" s="19"/>
      <c r="Q486" s="19"/>
      <c r="R486" s="19"/>
    </row>
    <row r="487" ht="16.5" spans="1:18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9"/>
      <c r="L487" s="19"/>
      <c r="M487" s="19"/>
      <c r="N487" s="19"/>
      <c r="O487" s="19"/>
      <c r="P487" s="19"/>
      <c r="Q487" s="19"/>
      <c r="R487" s="19"/>
    </row>
    <row r="488" ht="16.5" spans="1:1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9"/>
      <c r="L488" s="19"/>
      <c r="M488" s="19"/>
      <c r="N488" s="19"/>
      <c r="O488" s="19"/>
      <c r="P488" s="19"/>
      <c r="Q488" s="19"/>
      <c r="R488" s="19"/>
    </row>
    <row r="489" ht="16.5" spans="1:18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9"/>
      <c r="L489" s="19"/>
      <c r="M489" s="19"/>
      <c r="N489" s="19"/>
      <c r="O489" s="19"/>
      <c r="P489" s="19"/>
      <c r="Q489" s="19"/>
      <c r="R489" s="19"/>
    </row>
    <row r="490" ht="16.5" spans="1:18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9"/>
      <c r="L490" s="19"/>
      <c r="M490" s="19"/>
      <c r="N490" s="19"/>
      <c r="O490" s="19"/>
      <c r="P490" s="19"/>
      <c r="Q490" s="19"/>
      <c r="R490" s="19"/>
    </row>
    <row r="491" ht="16.5" spans="1:18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9"/>
      <c r="L491" s="19"/>
      <c r="M491" s="19"/>
      <c r="N491" s="19"/>
      <c r="O491" s="19"/>
      <c r="P491" s="19"/>
      <c r="Q491" s="19"/>
      <c r="R491" s="19"/>
    </row>
    <row r="492" ht="16.5" spans="1:18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9"/>
      <c r="L492" s="19"/>
      <c r="M492" s="19"/>
      <c r="N492" s="19"/>
      <c r="O492" s="19"/>
      <c r="P492" s="19"/>
      <c r="Q492" s="19"/>
      <c r="R492" s="19"/>
    </row>
    <row r="493" ht="16.5" spans="1:18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9"/>
      <c r="L493" s="19"/>
      <c r="M493" s="19"/>
      <c r="N493" s="19"/>
      <c r="O493" s="19"/>
      <c r="P493" s="19"/>
      <c r="Q493" s="19"/>
      <c r="R493" s="19"/>
    </row>
    <row r="494" ht="16.5" spans="1:18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9"/>
      <c r="L494" s="19"/>
      <c r="M494" s="19"/>
      <c r="N494" s="19"/>
      <c r="O494" s="19"/>
      <c r="P494" s="19"/>
      <c r="Q494" s="19"/>
      <c r="R494" s="19"/>
    </row>
    <row r="495" ht="16.5" spans="1:18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9"/>
      <c r="L495" s="19"/>
      <c r="M495" s="19"/>
      <c r="N495" s="19"/>
      <c r="O495" s="19"/>
      <c r="P495" s="19"/>
      <c r="Q495" s="19"/>
      <c r="R495" s="19"/>
    </row>
    <row r="496" ht="16.5" spans="1:18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9"/>
      <c r="L496" s="19"/>
      <c r="M496" s="19"/>
      <c r="N496" s="19"/>
      <c r="O496" s="19"/>
      <c r="P496" s="19"/>
      <c r="Q496" s="19"/>
      <c r="R496" s="19"/>
    </row>
    <row r="497" ht="16.5" spans="1:18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9"/>
      <c r="L497" s="19"/>
      <c r="M497" s="19"/>
      <c r="N497" s="19"/>
      <c r="O497" s="19"/>
      <c r="P497" s="19"/>
      <c r="Q497" s="19"/>
      <c r="R497" s="19"/>
    </row>
    <row r="498" ht="16.5" spans="1:1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9"/>
      <c r="L498" s="19"/>
      <c r="M498" s="19"/>
      <c r="N498" s="19"/>
      <c r="O498" s="19"/>
      <c r="P498" s="19"/>
      <c r="Q498" s="19"/>
      <c r="R498" s="19"/>
    </row>
    <row r="499" ht="16.5" spans="1:18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9"/>
      <c r="L499" s="19"/>
      <c r="M499" s="19"/>
      <c r="N499" s="19"/>
      <c r="O499" s="19"/>
      <c r="P499" s="19"/>
      <c r="Q499" s="19"/>
      <c r="R499" s="19"/>
    </row>
    <row r="500" ht="16.5" spans="1:18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9"/>
      <c r="L500" s="19"/>
      <c r="M500" s="19"/>
      <c r="N500" s="19"/>
      <c r="O500" s="19"/>
      <c r="P500" s="19"/>
      <c r="Q500" s="19"/>
      <c r="R500" s="19"/>
    </row>
    <row r="501" ht="16.5" spans="1:18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9"/>
      <c r="L501" s="19"/>
      <c r="M501" s="19"/>
      <c r="N501" s="19"/>
      <c r="O501" s="19"/>
      <c r="P501" s="19"/>
      <c r="Q501" s="19"/>
      <c r="R501" s="19"/>
    </row>
    <row r="502" ht="16.5" spans="1:18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9"/>
      <c r="L502" s="19"/>
      <c r="M502" s="19"/>
      <c r="N502" s="19"/>
      <c r="O502" s="19"/>
      <c r="P502" s="19"/>
      <c r="Q502" s="19"/>
      <c r="R502" s="19"/>
    </row>
    <row r="503" ht="16.5" spans="1:18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9"/>
      <c r="L503" s="19"/>
      <c r="M503" s="19"/>
      <c r="N503" s="19"/>
      <c r="O503" s="19"/>
      <c r="P503" s="19"/>
      <c r="Q503" s="19"/>
      <c r="R503" s="19"/>
    </row>
    <row r="504" ht="16.5" spans="1:18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9"/>
      <c r="L504" s="19"/>
      <c r="M504" s="19"/>
      <c r="N504" s="19"/>
      <c r="O504" s="19"/>
      <c r="P504" s="19"/>
      <c r="Q504" s="19"/>
      <c r="R504" s="19"/>
    </row>
    <row r="505" ht="16.5" spans="1:18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9"/>
      <c r="L505" s="19"/>
      <c r="M505" s="19"/>
      <c r="N505" s="19"/>
      <c r="O505" s="19"/>
      <c r="P505" s="19"/>
      <c r="Q505" s="19"/>
      <c r="R505" s="19"/>
    </row>
    <row r="506" ht="16.5" spans="1:18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9"/>
      <c r="L506" s="19"/>
      <c r="M506" s="19"/>
      <c r="N506" s="19"/>
      <c r="O506" s="19"/>
      <c r="P506" s="19"/>
      <c r="Q506" s="19"/>
      <c r="R506" s="19"/>
    </row>
    <row r="507" ht="16.5" spans="1:18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9"/>
      <c r="L507" s="19"/>
      <c r="M507" s="19"/>
      <c r="N507" s="19"/>
      <c r="O507" s="19"/>
      <c r="P507" s="19"/>
      <c r="Q507" s="19"/>
      <c r="R507" s="19"/>
    </row>
    <row r="508" ht="16.5" spans="1:1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9"/>
      <c r="L508" s="19"/>
      <c r="M508" s="19"/>
      <c r="N508" s="19"/>
      <c r="O508" s="19"/>
      <c r="P508" s="19"/>
      <c r="Q508" s="19"/>
      <c r="R508" s="19"/>
    </row>
    <row r="509" ht="16.5" spans="1:18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9"/>
      <c r="L509" s="19"/>
      <c r="M509" s="19"/>
      <c r="N509" s="19"/>
      <c r="O509" s="19"/>
      <c r="P509" s="19"/>
      <c r="Q509" s="19"/>
      <c r="R509" s="19"/>
    </row>
    <row r="510" ht="16.5" spans="1:18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9"/>
      <c r="L510" s="19"/>
      <c r="M510" s="19"/>
      <c r="N510" s="19"/>
      <c r="O510" s="19"/>
      <c r="P510" s="19"/>
      <c r="Q510" s="19"/>
      <c r="R510" s="19"/>
    </row>
    <row r="511" ht="16.5" spans="1:18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9"/>
      <c r="L511" s="19"/>
      <c r="M511" s="19"/>
      <c r="N511" s="19"/>
      <c r="O511" s="19"/>
      <c r="P511" s="19"/>
      <c r="Q511" s="19"/>
      <c r="R511" s="19"/>
    </row>
    <row r="512" ht="16.5" spans="1:18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9"/>
      <c r="L512" s="19"/>
      <c r="M512" s="19"/>
      <c r="N512" s="19"/>
      <c r="O512" s="19"/>
      <c r="P512" s="19"/>
      <c r="Q512" s="19"/>
      <c r="R512" s="19"/>
    </row>
    <row r="513" ht="16.5" spans="1:18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9"/>
      <c r="L513" s="19"/>
      <c r="M513" s="19"/>
      <c r="N513" s="19"/>
      <c r="O513" s="19"/>
      <c r="P513" s="19"/>
      <c r="Q513" s="19"/>
      <c r="R513" s="19"/>
    </row>
    <row r="514" ht="16.5" spans="1:18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9"/>
      <c r="L514" s="19"/>
      <c r="M514" s="19"/>
      <c r="N514" s="19"/>
      <c r="O514" s="19"/>
      <c r="P514" s="19"/>
      <c r="Q514" s="19"/>
      <c r="R514" s="19"/>
    </row>
    <row r="515" ht="16.5" spans="1:18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9"/>
      <c r="L515" s="19"/>
      <c r="M515" s="19"/>
      <c r="N515" s="19"/>
      <c r="O515" s="19"/>
      <c r="P515" s="19"/>
      <c r="Q515" s="19"/>
      <c r="R515" s="19"/>
    </row>
    <row r="516" ht="16.5" spans="1:18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9"/>
      <c r="L516" s="19"/>
      <c r="M516" s="19"/>
      <c r="N516" s="19"/>
      <c r="O516" s="19"/>
      <c r="P516" s="19"/>
      <c r="Q516" s="19"/>
      <c r="R516" s="19"/>
    </row>
    <row r="517" ht="16.5" spans="1:18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9"/>
      <c r="L517" s="19"/>
      <c r="M517" s="19"/>
      <c r="N517" s="19"/>
      <c r="O517" s="19"/>
      <c r="P517" s="19"/>
      <c r="Q517" s="19"/>
      <c r="R517" s="19"/>
    </row>
    <row r="518" ht="16.5" spans="1: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9"/>
      <c r="L518" s="19"/>
      <c r="M518" s="19"/>
      <c r="N518" s="19"/>
      <c r="O518" s="19"/>
      <c r="P518" s="19"/>
      <c r="Q518" s="19"/>
      <c r="R518" s="19"/>
    </row>
    <row r="519" ht="16.5" spans="1:18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9"/>
      <c r="L519" s="19"/>
      <c r="M519" s="19"/>
      <c r="N519" s="19"/>
      <c r="O519" s="19"/>
      <c r="P519" s="19"/>
      <c r="Q519" s="19"/>
      <c r="R519" s="19"/>
    </row>
    <row r="520" ht="16.5" spans="1:18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9"/>
      <c r="L520" s="19"/>
      <c r="M520" s="19"/>
      <c r="N520" s="19"/>
      <c r="O520" s="19"/>
      <c r="P520" s="19"/>
      <c r="Q520" s="19"/>
      <c r="R520" s="19"/>
    </row>
    <row r="521" ht="16.5" spans="1:18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9"/>
      <c r="L521" s="19"/>
      <c r="M521" s="19"/>
      <c r="N521" s="19"/>
      <c r="O521" s="19"/>
      <c r="P521" s="19"/>
      <c r="Q521" s="19"/>
      <c r="R521" s="19"/>
    </row>
    <row r="522" ht="16.5" spans="1:18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9"/>
      <c r="L522" s="19"/>
      <c r="M522" s="19"/>
      <c r="N522" s="19"/>
      <c r="O522" s="19"/>
      <c r="P522" s="19"/>
      <c r="Q522" s="19"/>
      <c r="R522" s="19"/>
    </row>
    <row r="523" ht="16.5" spans="1:18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9"/>
      <c r="L523" s="19"/>
      <c r="M523" s="19"/>
      <c r="N523" s="19"/>
      <c r="O523" s="19"/>
      <c r="P523" s="19"/>
      <c r="Q523" s="19"/>
      <c r="R523" s="19"/>
    </row>
    <row r="524" ht="16.5" spans="1:18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9"/>
      <c r="L524" s="19"/>
      <c r="M524" s="19"/>
      <c r="N524" s="19"/>
      <c r="O524" s="19"/>
      <c r="P524" s="19"/>
      <c r="Q524" s="19"/>
      <c r="R524" s="19"/>
    </row>
    <row r="525" ht="16.5" spans="1:18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9"/>
      <c r="L525" s="19"/>
      <c r="M525" s="19"/>
      <c r="N525" s="19"/>
      <c r="O525" s="19"/>
      <c r="P525" s="19"/>
      <c r="Q525" s="19"/>
      <c r="R525" s="19"/>
    </row>
    <row r="526" ht="16.5" spans="1:18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9"/>
      <c r="L526" s="19"/>
      <c r="M526" s="19"/>
      <c r="N526" s="19"/>
      <c r="O526" s="19"/>
      <c r="P526" s="19"/>
      <c r="Q526" s="19"/>
      <c r="R526" s="19"/>
    </row>
    <row r="527" ht="16.5" spans="1:18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9"/>
      <c r="L527" s="19"/>
      <c r="M527" s="19"/>
      <c r="N527" s="19"/>
      <c r="O527" s="19"/>
      <c r="P527" s="19"/>
      <c r="Q527" s="19"/>
      <c r="R527" s="19"/>
    </row>
    <row r="528" ht="16.5" spans="1:1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9"/>
      <c r="L528" s="19"/>
      <c r="M528" s="19"/>
      <c r="N528" s="19"/>
      <c r="O528" s="19"/>
      <c r="P528" s="19"/>
      <c r="Q528" s="19"/>
      <c r="R528" s="19"/>
    </row>
    <row r="529" ht="16.5" spans="1:18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9"/>
      <c r="L529" s="19"/>
      <c r="M529" s="19"/>
      <c r="N529" s="19"/>
      <c r="O529" s="19"/>
      <c r="P529" s="19"/>
      <c r="Q529" s="19"/>
      <c r="R529" s="19"/>
    </row>
    <row r="530" ht="16.5" spans="1:18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9"/>
      <c r="L530" s="19"/>
      <c r="M530" s="19"/>
      <c r="N530" s="19"/>
      <c r="O530" s="19"/>
      <c r="P530" s="19"/>
      <c r="Q530" s="19"/>
      <c r="R530" s="19"/>
    </row>
    <row r="531" ht="16.5" spans="1:18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9"/>
      <c r="L531" s="19"/>
      <c r="M531" s="19"/>
      <c r="N531" s="19"/>
      <c r="O531" s="19"/>
      <c r="P531" s="19"/>
      <c r="Q531" s="19"/>
      <c r="R531" s="19"/>
    </row>
    <row r="532" ht="16.5" spans="1:18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9"/>
      <c r="L532" s="19"/>
      <c r="M532" s="19"/>
      <c r="N532" s="19"/>
      <c r="O532" s="19"/>
      <c r="P532" s="19"/>
      <c r="Q532" s="19"/>
      <c r="R532" s="19"/>
    </row>
    <row r="533" ht="16.5" spans="1:18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9"/>
      <c r="L533" s="19"/>
      <c r="M533" s="19"/>
      <c r="N533" s="19"/>
      <c r="O533" s="19"/>
      <c r="P533" s="19"/>
      <c r="Q533" s="19"/>
      <c r="R533" s="19"/>
    </row>
    <row r="534" ht="16.5" spans="1:18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9"/>
      <c r="L534" s="19"/>
      <c r="M534" s="19"/>
      <c r="N534" s="19"/>
      <c r="O534" s="19"/>
      <c r="P534" s="19"/>
      <c r="Q534" s="19"/>
      <c r="R534" s="19"/>
    </row>
    <row r="535" ht="16.5" spans="1:18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9"/>
      <c r="L535" s="19"/>
      <c r="M535" s="19"/>
      <c r="N535" s="19"/>
      <c r="O535" s="19"/>
      <c r="P535" s="19"/>
      <c r="Q535" s="19"/>
      <c r="R535" s="19"/>
    </row>
    <row r="536" ht="16.5" spans="1:18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9"/>
      <c r="L536" s="19"/>
      <c r="M536" s="19"/>
      <c r="N536" s="19"/>
      <c r="O536" s="19"/>
      <c r="P536" s="19"/>
      <c r="Q536" s="19"/>
      <c r="R536" s="19"/>
    </row>
    <row r="537" ht="16.5" spans="1:18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9"/>
      <c r="L537" s="19"/>
      <c r="M537" s="19"/>
      <c r="N537" s="19"/>
      <c r="O537" s="19"/>
      <c r="P537" s="19"/>
      <c r="Q537" s="19"/>
      <c r="R537" s="19"/>
    </row>
    <row r="538" ht="16.5" spans="1:1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9"/>
      <c r="L538" s="19"/>
      <c r="M538" s="19"/>
      <c r="N538" s="19"/>
      <c r="O538" s="19"/>
      <c r="P538" s="19"/>
      <c r="Q538" s="19"/>
      <c r="R538" s="19"/>
    </row>
    <row r="539" ht="16.5" spans="1:18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9"/>
      <c r="L539" s="19"/>
      <c r="M539" s="19"/>
      <c r="N539" s="19"/>
      <c r="O539" s="19"/>
      <c r="P539" s="19"/>
      <c r="Q539" s="19"/>
      <c r="R539" s="19"/>
    </row>
    <row r="540" ht="16.5" spans="1:18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9"/>
      <c r="L540" s="19"/>
      <c r="M540" s="19"/>
      <c r="N540" s="19"/>
      <c r="O540" s="19"/>
      <c r="P540" s="19"/>
      <c r="Q540" s="19"/>
      <c r="R540" s="19"/>
    </row>
    <row r="541" ht="16.5" spans="1:18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9"/>
      <c r="L541" s="19"/>
      <c r="M541" s="19"/>
      <c r="N541" s="19"/>
      <c r="O541" s="19"/>
      <c r="P541" s="19"/>
      <c r="Q541" s="19"/>
      <c r="R541" s="19"/>
    </row>
    <row r="542" ht="16.5" spans="1:18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9"/>
      <c r="L542" s="19"/>
      <c r="M542" s="19"/>
      <c r="N542" s="19"/>
      <c r="O542" s="19"/>
      <c r="P542" s="19"/>
      <c r="Q542" s="19"/>
      <c r="R542" s="19"/>
    </row>
    <row r="543" ht="16.5" spans="1:18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9"/>
      <c r="L543" s="19"/>
      <c r="M543" s="19"/>
      <c r="N543" s="19"/>
      <c r="O543" s="19"/>
      <c r="P543" s="19"/>
      <c r="Q543" s="19"/>
      <c r="R543" s="19"/>
    </row>
    <row r="544" ht="16.5" spans="1:18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9"/>
      <c r="L544" s="19"/>
      <c r="M544" s="19"/>
      <c r="N544" s="19"/>
      <c r="O544" s="19"/>
      <c r="P544" s="19"/>
      <c r="Q544" s="19"/>
      <c r="R544" s="19"/>
    </row>
    <row r="545" ht="16.5" spans="1:18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9"/>
      <c r="L545" s="19"/>
      <c r="M545" s="19"/>
      <c r="N545" s="19"/>
      <c r="O545" s="19"/>
      <c r="P545" s="19"/>
      <c r="Q545" s="19"/>
      <c r="R545" s="19"/>
    </row>
    <row r="546" ht="16.5" spans="1:18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9"/>
      <c r="L546" s="19"/>
      <c r="M546" s="19"/>
      <c r="N546" s="19"/>
      <c r="O546" s="19"/>
      <c r="P546" s="19"/>
      <c r="Q546" s="19"/>
      <c r="R546" s="19"/>
    </row>
    <row r="547" ht="16.5" spans="1:18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9"/>
      <c r="L547" s="19"/>
      <c r="M547" s="19"/>
      <c r="N547" s="19"/>
      <c r="O547" s="19"/>
      <c r="P547" s="19"/>
      <c r="Q547" s="19"/>
      <c r="R547" s="19"/>
    </row>
    <row r="548" ht="16.5" spans="1:1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9"/>
      <c r="L548" s="19"/>
      <c r="M548" s="19"/>
      <c r="N548" s="19"/>
      <c r="O548" s="19"/>
      <c r="P548" s="19"/>
      <c r="Q548" s="19"/>
      <c r="R548" s="19"/>
    </row>
    <row r="549" ht="16.5" spans="1:18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9"/>
      <c r="L549" s="19"/>
      <c r="M549" s="19"/>
      <c r="N549" s="19"/>
      <c r="O549" s="19"/>
      <c r="P549" s="19"/>
      <c r="Q549" s="19"/>
      <c r="R549" s="19"/>
    </row>
    <row r="550" ht="16.5" spans="1:18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9"/>
      <c r="L550" s="19"/>
      <c r="M550" s="19"/>
      <c r="N550" s="19"/>
      <c r="O550" s="19"/>
      <c r="P550" s="19"/>
      <c r="Q550" s="19"/>
      <c r="R550" s="19"/>
    </row>
    <row r="551" ht="16.5" spans="1:18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9"/>
      <c r="L551" s="19"/>
      <c r="M551" s="19"/>
      <c r="N551" s="19"/>
      <c r="O551" s="19"/>
      <c r="P551" s="19"/>
      <c r="Q551" s="19"/>
      <c r="R551" s="19"/>
    </row>
    <row r="552" ht="16.5" spans="1:18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9"/>
      <c r="L552" s="19"/>
      <c r="M552" s="19"/>
      <c r="N552" s="19"/>
      <c r="O552" s="19"/>
      <c r="P552" s="19"/>
      <c r="Q552" s="19"/>
      <c r="R552" s="19"/>
    </row>
    <row r="553" ht="16.5" spans="1:18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9"/>
      <c r="L553" s="19"/>
      <c r="M553" s="19"/>
      <c r="N553" s="19"/>
      <c r="O553" s="19"/>
      <c r="P553" s="19"/>
      <c r="Q553" s="19"/>
      <c r="R553" s="19"/>
    </row>
    <row r="554" ht="16.5" spans="1:18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9"/>
      <c r="L554" s="19"/>
      <c r="M554" s="19"/>
      <c r="N554" s="19"/>
      <c r="O554" s="19"/>
      <c r="P554" s="19"/>
      <c r="Q554" s="19"/>
      <c r="R554" s="19"/>
    </row>
    <row r="555" ht="16.5" spans="1:18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9"/>
      <c r="L555" s="19"/>
      <c r="M555" s="19"/>
      <c r="N555" s="19"/>
      <c r="O555" s="19"/>
      <c r="P555" s="19"/>
      <c r="Q555" s="19"/>
      <c r="R555" s="19"/>
    </row>
    <row r="556" ht="16.5" spans="1:18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9"/>
      <c r="L556" s="19"/>
      <c r="M556" s="19"/>
      <c r="N556" s="19"/>
      <c r="O556" s="19"/>
      <c r="P556" s="19"/>
      <c r="Q556" s="19"/>
      <c r="R556" s="19"/>
    </row>
    <row r="557" ht="16.5" spans="1:18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9"/>
      <c r="L557" s="19"/>
      <c r="M557" s="19"/>
      <c r="N557" s="19"/>
      <c r="O557" s="19"/>
      <c r="P557" s="19"/>
      <c r="Q557" s="19"/>
      <c r="R557" s="19"/>
    </row>
    <row r="558" ht="16.5" spans="1:1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9"/>
      <c r="L558" s="19"/>
      <c r="M558" s="19"/>
      <c r="N558" s="19"/>
      <c r="O558" s="19"/>
      <c r="P558" s="19"/>
      <c r="Q558" s="19"/>
      <c r="R558" s="19"/>
    </row>
    <row r="559" ht="16.5" spans="1:18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9"/>
      <c r="L559" s="19"/>
      <c r="M559" s="19"/>
      <c r="N559" s="19"/>
      <c r="O559" s="19"/>
      <c r="P559" s="19"/>
      <c r="Q559" s="19"/>
      <c r="R559" s="19"/>
    </row>
    <row r="560" ht="16.5" spans="1:18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9"/>
      <c r="L560" s="19"/>
      <c r="M560" s="19"/>
      <c r="N560" s="19"/>
      <c r="O560" s="19"/>
      <c r="P560" s="19"/>
      <c r="Q560" s="19"/>
      <c r="R560" s="19"/>
    </row>
    <row r="561" ht="16.5" spans="1:18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9"/>
      <c r="L561" s="19"/>
      <c r="M561" s="19"/>
      <c r="N561" s="19"/>
      <c r="O561" s="19"/>
      <c r="P561" s="19"/>
      <c r="Q561" s="19"/>
      <c r="R561" s="19"/>
    </row>
    <row r="562" ht="16.5" spans="1:18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9"/>
      <c r="L562" s="19"/>
      <c r="M562" s="19"/>
      <c r="N562" s="19"/>
      <c r="O562" s="19"/>
      <c r="P562" s="19"/>
      <c r="Q562" s="19"/>
      <c r="R562" s="19"/>
    </row>
    <row r="563" ht="16.5" spans="1:18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9"/>
      <c r="L563" s="19"/>
      <c r="M563" s="19"/>
      <c r="N563" s="19"/>
      <c r="O563" s="19"/>
      <c r="P563" s="19"/>
      <c r="Q563" s="19"/>
      <c r="R563" s="19"/>
    </row>
    <row r="564" ht="16.5" spans="1:18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9"/>
      <c r="L564" s="19"/>
      <c r="M564" s="19"/>
      <c r="N564" s="19"/>
      <c r="O564" s="19"/>
      <c r="P564" s="19"/>
      <c r="Q564" s="19"/>
      <c r="R564" s="19"/>
    </row>
    <row r="565" ht="16.5" spans="1:18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9"/>
      <c r="L565" s="19"/>
      <c r="M565" s="19"/>
      <c r="N565" s="19"/>
      <c r="O565" s="19"/>
      <c r="P565" s="19"/>
      <c r="Q565" s="19"/>
      <c r="R565" s="19"/>
    </row>
    <row r="566" ht="16.5" spans="1:18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9"/>
      <c r="L566" s="19"/>
      <c r="M566" s="19"/>
      <c r="N566" s="19"/>
      <c r="O566" s="19"/>
      <c r="P566" s="19"/>
      <c r="Q566" s="19"/>
      <c r="R566" s="19"/>
    </row>
    <row r="567" ht="16.5" spans="1:18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9"/>
      <c r="L567" s="19"/>
      <c r="M567" s="19"/>
      <c r="N567" s="19"/>
      <c r="O567" s="19"/>
      <c r="P567" s="19"/>
      <c r="Q567" s="19"/>
      <c r="R567" s="19"/>
    </row>
    <row r="568" ht="16.5" spans="1:1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9"/>
      <c r="L568" s="19"/>
      <c r="M568" s="19"/>
      <c r="N568" s="19"/>
      <c r="O568" s="19"/>
      <c r="P568" s="19"/>
      <c r="Q568" s="19"/>
      <c r="R568" s="19"/>
    </row>
    <row r="569" ht="16.5" spans="1:18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9"/>
      <c r="L569" s="19"/>
      <c r="M569" s="19"/>
      <c r="N569" s="19"/>
      <c r="O569" s="19"/>
      <c r="P569" s="19"/>
      <c r="Q569" s="19"/>
      <c r="R569" s="19"/>
    </row>
    <row r="570" ht="16.5" spans="1:18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9"/>
      <c r="L570" s="19"/>
      <c r="M570" s="19"/>
      <c r="N570" s="19"/>
      <c r="O570" s="19"/>
      <c r="P570" s="19"/>
      <c r="Q570" s="19"/>
      <c r="R570" s="19"/>
    </row>
    <row r="571" ht="16.5" spans="1:18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9"/>
      <c r="L571" s="19"/>
      <c r="M571" s="19"/>
      <c r="N571" s="19"/>
      <c r="O571" s="19"/>
      <c r="P571" s="19"/>
      <c r="Q571" s="19"/>
      <c r="R571" s="19"/>
    </row>
    <row r="572" ht="16.5" spans="1:18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9"/>
      <c r="L572" s="19"/>
      <c r="M572" s="19"/>
      <c r="N572" s="19"/>
      <c r="O572" s="19"/>
      <c r="P572" s="19"/>
      <c r="Q572" s="19"/>
      <c r="R572" s="19"/>
    </row>
    <row r="573" ht="16.5" spans="1:18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9"/>
      <c r="L573" s="19"/>
      <c r="M573" s="19"/>
      <c r="N573" s="19"/>
      <c r="O573" s="19"/>
      <c r="P573" s="19"/>
      <c r="Q573" s="19"/>
      <c r="R573" s="19"/>
    </row>
    <row r="574" ht="16.5" spans="1:18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9"/>
      <c r="L574" s="19"/>
      <c r="M574" s="19"/>
      <c r="N574" s="19"/>
      <c r="O574" s="19"/>
      <c r="P574" s="19"/>
      <c r="Q574" s="19"/>
      <c r="R574" s="19"/>
    </row>
    <row r="575" ht="16.5" spans="1:18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9"/>
      <c r="L575" s="19"/>
      <c r="M575" s="19"/>
      <c r="N575" s="19"/>
      <c r="O575" s="19"/>
      <c r="P575" s="19"/>
      <c r="Q575" s="19"/>
      <c r="R575" s="19"/>
    </row>
    <row r="576" ht="16.5" spans="1:18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9"/>
      <c r="L576" s="19"/>
      <c r="M576" s="19"/>
      <c r="N576" s="19"/>
      <c r="O576" s="19"/>
      <c r="P576" s="19"/>
      <c r="Q576" s="19"/>
      <c r="R576" s="19"/>
    </row>
    <row r="577" ht="16.5" spans="1:18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9"/>
      <c r="L577" s="19"/>
      <c r="M577" s="19"/>
      <c r="N577" s="19"/>
      <c r="O577" s="19"/>
      <c r="P577" s="19"/>
      <c r="Q577" s="19"/>
      <c r="R577" s="19"/>
    </row>
    <row r="578" ht="16.5" spans="1:1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9"/>
      <c r="L578" s="19"/>
      <c r="M578" s="19"/>
      <c r="N578" s="19"/>
      <c r="O578" s="19"/>
      <c r="P578" s="19"/>
      <c r="Q578" s="19"/>
      <c r="R578" s="19"/>
    </row>
    <row r="579" ht="16.5" spans="1:18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9"/>
      <c r="L579" s="19"/>
      <c r="M579" s="19"/>
      <c r="N579" s="19"/>
      <c r="O579" s="19"/>
      <c r="P579" s="19"/>
      <c r="Q579" s="19"/>
      <c r="R579" s="19"/>
    </row>
    <row r="580" ht="16.5" spans="1:18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9"/>
      <c r="L580" s="19"/>
      <c r="M580" s="19"/>
      <c r="N580" s="19"/>
      <c r="O580" s="19"/>
      <c r="P580" s="19"/>
      <c r="Q580" s="19"/>
      <c r="R580" s="19"/>
    </row>
    <row r="581" ht="16.5" spans="1:18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9"/>
      <c r="L581" s="19"/>
      <c r="M581" s="19"/>
      <c r="N581" s="19"/>
      <c r="O581" s="19"/>
      <c r="P581" s="19"/>
      <c r="Q581" s="19"/>
      <c r="R581" s="19"/>
    </row>
    <row r="582" ht="16.5" spans="1:18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9"/>
      <c r="L582" s="19"/>
      <c r="M582" s="19"/>
      <c r="N582" s="19"/>
      <c r="O582" s="19"/>
      <c r="P582" s="19"/>
      <c r="Q582" s="19"/>
      <c r="R582" s="19"/>
    </row>
    <row r="583" ht="16.5" spans="1:18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9"/>
      <c r="L583" s="19"/>
      <c r="M583" s="19"/>
      <c r="N583" s="19"/>
      <c r="O583" s="19"/>
      <c r="P583" s="19"/>
      <c r="Q583" s="19"/>
      <c r="R583" s="19"/>
    </row>
    <row r="584" ht="16.5" spans="1:18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9"/>
      <c r="L584" s="19"/>
      <c r="M584" s="19"/>
      <c r="N584" s="19"/>
      <c r="O584" s="19"/>
      <c r="P584" s="19"/>
      <c r="Q584" s="19"/>
      <c r="R584" s="19"/>
    </row>
    <row r="585" ht="16.5" spans="1:18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9"/>
      <c r="L585" s="19"/>
      <c r="M585" s="19"/>
      <c r="N585" s="19"/>
      <c r="O585" s="19"/>
      <c r="P585" s="19"/>
      <c r="Q585" s="19"/>
      <c r="R585" s="19"/>
    </row>
    <row r="586" ht="16.5" spans="1:18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9"/>
      <c r="L586" s="19"/>
      <c r="M586" s="19"/>
      <c r="N586" s="19"/>
      <c r="O586" s="19"/>
      <c r="P586" s="19"/>
      <c r="Q586" s="19"/>
      <c r="R586" s="19"/>
    </row>
    <row r="587" ht="16.5" spans="1:18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9"/>
      <c r="L587" s="19"/>
      <c r="M587" s="19"/>
      <c r="N587" s="19"/>
      <c r="O587" s="19"/>
      <c r="P587" s="19"/>
      <c r="Q587" s="19"/>
      <c r="R587" s="19"/>
    </row>
    <row r="588" ht="16.5" spans="1:1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9"/>
      <c r="L588" s="19"/>
      <c r="M588" s="19"/>
      <c r="N588" s="19"/>
      <c r="O588" s="19"/>
      <c r="P588" s="19"/>
      <c r="Q588" s="19"/>
      <c r="R588" s="19"/>
    </row>
    <row r="589" ht="16.5" spans="1:18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9"/>
      <c r="L589" s="19"/>
      <c r="M589" s="19"/>
      <c r="N589" s="19"/>
      <c r="O589" s="19"/>
      <c r="P589" s="19"/>
      <c r="Q589" s="19"/>
      <c r="R589" s="19"/>
    </row>
    <row r="590" ht="16.5" spans="1:18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9"/>
      <c r="L590" s="19"/>
      <c r="M590" s="19"/>
      <c r="N590" s="19"/>
      <c r="O590" s="19"/>
      <c r="P590" s="19"/>
      <c r="Q590" s="19"/>
      <c r="R590" s="19"/>
    </row>
    <row r="591" ht="16.5" spans="1:18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9"/>
      <c r="L591" s="19"/>
      <c r="M591" s="19"/>
      <c r="N591" s="19"/>
      <c r="O591" s="19"/>
      <c r="P591" s="19"/>
      <c r="Q591" s="19"/>
      <c r="R591" s="19"/>
    </row>
    <row r="592" ht="16.5" spans="1:18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9"/>
      <c r="L592" s="19"/>
      <c r="M592" s="19"/>
      <c r="N592" s="19"/>
      <c r="O592" s="19"/>
      <c r="P592" s="19"/>
      <c r="Q592" s="19"/>
      <c r="R592" s="19"/>
    </row>
    <row r="593" ht="16.5" spans="1:18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9"/>
      <c r="L593" s="19"/>
      <c r="M593" s="19"/>
      <c r="N593" s="19"/>
      <c r="O593" s="19"/>
      <c r="P593" s="19"/>
      <c r="Q593" s="19"/>
      <c r="R593" s="19"/>
    </row>
    <row r="594" ht="16.5" spans="1:18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9"/>
      <c r="L594" s="19"/>
      <c r="M594" s="19"/>
      <c r="N594" s="19"/>
      <c r="O594" s="19"/>
      <c r="P594" s="19"/>
      <c r="Q594" s="19"/>
      <c r="R594" s="19"/>
    </row>
    <row r="595" ht="16.5" spans="1:18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9"/>
      <c r="L595" s="19"/>
      <c r="M595" s="19"/>
      <c r="N595" s="19"/>
      <c r="O595" s="19"/>
      <c r="P595" s="19"/>
      <c r="Q595" s="19"/>
      <c r="R595" s="19"/>
    </row>
    <row r="596" ht="16.5" spans="1:18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9"/>
      <c r="L596" s="19"/>
      <c r="M596" s="19"/>
      <c r="N596" s="19"/>
      <c r="O596" s="19"/>
      <c r="P596" s="19"/>
      <c r="Q596" s="19"/>
      <c r="R596" s="19"/>
    </row>
    <row r="597" ht="16.5" spans="1:18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9"/>
      <c r="L597" s="19"/>
      <c r="M597" s="19"/>
      <c r="N597" s="19"/>
      <c r="O597" s="19"/>
      <c r="P597" s="19"/>
      <c r="Q597" s="19"/>
      <c r="R597" s="19"/>
    </row>
    <row r="598" ht="16.5" spans="1:1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9"/>
      <c r="L598" s="19"/>
      <c r="M598" s="19"/>
      <c r="N598" s="19"/>
      <c r="O598" s="19"/>
      <c r="P598" s="19"/>
      <c r="Q598" s="19"/>
      <c r="R598" s="19"/>
    </row>
    <row r="599" ht="16.5" spans="1:18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9"/>
      <c r="L599" s="19"/>
      <c r="M599" s="19"/>
      <c r="N599" s="19"/>
      <c r="O599" s="19"/>
      <c r="P599" s="19"/>
      <c r="Q599" s="19"/>
      <c r="R599" s="19"/>
    </row>
    <row r="600" ht="16.5" spans="1:18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9"/>
      <c r="L600" s="19"/>
      <c r="M600" s="19"/>
      <c r="N600" s="19"/>
      <c r="O600" s="19"/>
      <c r="P600" s="19"/>
      <c r="Q600" s="19"/>
      <c r="R600" s="19"/>
    </row>
    <row r="601" ht="16.5" spans="1:18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9"/>
      <c r="L601" s="19"/>
      <c r="M601" s="19"/>
      <c r="N601" s="19"/>
      <c r="O601" s="19"/>
      <c r="P601" s="19"/>
      <c r="Q601" s="19"/>
      <c r="R601" s="19"/>
    </row>
    <row r="602" ht="16.5" spans="1:18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9"/>
      <c r="L602" s="19"/>
      <c r="M602" s="19"/>
      <c r="N602" s="19"/>
      <c r="O602" s="19"/>
      <c r="P602" s="19"/>
      <c r="Q602" s="19"/>
      <c r="R602" s="19"/>
    </row>
    <row r="603" ht="16.5" spans="1:18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9"/>
      <c r="L603" s="19"/>
      <c r="M603" s="19"/>
      <c r="N603" s="19"/>
      <c r="O603" s="19"/>
      <c r="P603" s="19"/>
      <c r="Q603" s="19"/>
      <c r="R603" s="19"/>
    </row>
    <row r="604" ht="16.5" spans="1:18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9"/>
      <c r="L604" s="19"/>
      <c r="M604" s="19"/>
      <c r="N604" s="19"/>
      <c r="O604" s="19"/>
      <c r="P604" s="19"/>
      <c r="Q604" s="19"/>
      <c r="R604" s="19"/>
    </row>
    <row r="605" ht="16.5" spans="1:18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9"/>
      <c r="L605" s="19"/>
      <c r="M605" s="19"/>
      <c r="N605" s="19"/>
      <c r="O605" s="19"/>
      <c r="P605" s="19"/>
      <c r="Q605" s="19"/>
      <c r="R605" s="19"/>
    </row>
    <row r="606" ht="16.5" spans="1:18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9"/>
      <c r="L606" s="19"/>
      <c r="M606" s="19"/>
      <c r="N606" s="19"/>
      <c r="O606" s="19"/>
      <c r="P606" s="19"/>
      <c r="Q606" s="19"/>
      <c r="R606" s="19"/>
    </row>
    <row r="607" ht="16.5" spans="1:18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9"/>
      <c r="L607" s="19"/>
      <c r="M607" s="19"/>
      <c r="N607" s="19"/>
      <c r="O607" s="19"/>
      <c r="P607" s="19"/>
      <c r="Q607" s="19"/>
      <c r="R607" s="19"/>
    </row>
    <row r="608" ht="16.5" spans="1:18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9"/>
      <c r="L608" s="19"/>
      <c r="M608" s="19"/>
      <c r="N608" s="19"/>
      <c r="O608" s="19"/>
      <c r="P608" s="19"/>
      <c r="Q608" s="19"/>
      <c r="R608" s="19"/>
    </row>
    <row r="609" ht="16.5" spans="1:18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9"/>
      <c r="L609" s="19"/>
      <c r="M609" s="19"/>
      <c r="N609" s="19"/>
      <c r="O609" s="19"/>
      <c r="P609" s="19"/>
      <c r="Q609" s="19"/>
      <c r="R609" s="19"/>
    </row>
    <row r="610" ht="16.5" spans="1:18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9"/>
      <c r="L610" s="19"/>
      <c r="M610" s="19"/>
      <c r="N610" s="19"/>
      <c r="O610" s="19"/>
      <c r="P610" s="19"/>
      <c r="Q610" s="19"/>
      <c r="R610" s="19"/>
    </row>
    <row r="611" ht="16.5" spans="1:18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9"/>
      <c r="L611" s="19"/>
      <c r="M611" s="19"/>
      <c r="N611" s="19"/>
      <c r="O611" s="19"/>
      <c r="P611" s="19"/>
      <c r="Q611" s="19"/>
      <c r="R611" s="19"/>
    </row>
    <row r="612" ht="16.5" spans="1:18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9"/>
      <c r="L612" s="19"/>
      <c r="M612" s="19"/>
      <c r="N612" s="19"/>
      <c r="O612" s="19"/>
      <c r="P612" s="19"/>
      <c r="Q612" s="19"/>
      <c r="R612" s="19"/>
    </row>
    <row r="613" ht="16.5" spans="1:18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9"/>
      <c r="L613" s="19"/>
      <c r="M613" s="19"/>
      <c r="N613" s="19"/>
      <c r="O613" s="19"/>
      <c r="P613" s="19"/>
      <c r="Q613" s="19"/>
      <c r="R613" s="19"/>
    </row>
    <row r="614" ht="16.5" spans="1:18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9"/>
      <c r="L614" s="19"/>
      <c r="M614" s="19"/>
      <c r="N614" s="19"/>
      <c r="O614" s="19"/>
      <c r="P614" s="19"/>
      <c r="Q614" s="19"/>
      <c r="R614" s="19"/>
    </row>
    <row r="615" ht="16.5" spans="1:18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9"/>
      <c r="L615" s="19"/>
      <c r="M615" s="19"/>
      <c r="N615" s="19"/>
      <c r="O615" s="19"/>
      <c r="P615" s="19"/>
      <c r="Q615" s="19"/>
      <c r="R615" s="19"/>
    </row>
    <row r="616" ht="16.5" spans="1:18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9"/>
      <c r="L616" s="19"/>
      <c r="M616" s="19"/>
      <c r="N616" s="19"/>
      <c r="O616" s="19"/>
      <c r="P616" s="19"/>
      <c r="Q616" s="19"/>
      <c r="R616" s="19"/>
    </row>
    <row r="617" ht="16.5" spans="1:18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9"/>
      <c r="L617" s="19"/>
      <c r="M617" s="19"/>
      <c r="N617" s="19"/>
      <c r="O617" s="19"/>
      <c r="P617" s="19"/>
      <c r="Q617" s="19"/>
      <c r="R617" s="19"/>
    </row>
    <row r="618" ht="16.5" spans="1:18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9"/>
      <c r="L618" s="19"/>
      <c r="M618" s="19"/>
      <c r="N618" s="19"/>
      <c r="O618" s="19"/>
      <c r="P618" s="19"/>
      <c r="Q618" s="19"/>
      <c r="R618" s="19"/>
    </row>
    <row r="619" ht="16.5" spans="1:18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9"/>
      <c r="L619" s="19"/>
      <c r="M619" s="19"/>
      <c r="N619" s="19"/>
      <c r="O619" s="19"/>
      <c r="P619" s="19"/>
      <c r="Q619" s="19"/>
      <c r="R619" s="19"/>
    </row>
    <row r="620" ht="16.5" spans="1:18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9"/>
      <c r="L620" s="19"/>
      <c r="M620" s="19"/>
      <c r="N620" s="19"/>
      <c r="O620" s="19"/>
      <c r="P620" s="19"/>
      <c r="Q620" s="19"/>
      <c r="R620" s="19"/>
    </row>
    <row r="621" ht="16.5" spans="1:18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9"/>
      <c r="L621" s="19"/>
      <c r="M621" s="19"/>
      <c r="N621" s="19"/>
      <c r="O621" s="19"/>
      <c r="P621" s="19"/>
      <c r="Q621" s="19"/>
      <c r="R621" s="19"/>
    </row>
    <row r="622" ht="16.5" spans="1:18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9"/>
      <c r="L622" s="19"/>
      <c r="M622" s="19"/>
      <c r="N622" s="19"/>
      <c r="O622" s="19"/>
      <c r="P622" s="19"/>
      <c r="Q622" s="19"/>
      <c r="R622" s="19"/>
    </row>
    <row r="623" ht="16.5" spans="1:18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9"/>
      <c r="L623" s="19"/>
      <c r="M623" s="19"/>
      <c r="N623" s="19"/>
      <c r="O623" s="19"/>
      <c r="P623" s="19"/>
      <c r="Q623" s="19"/>
      <c r="R623" s="19"/>
    </row>
    <row r="624" ht="16.5" spans="1:18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9"/>
      <c r="L624" s="19"/>
      <c r="M624" s="19"/>
      <c r="N624" s="19"/>
      <c r="O624" s="19"/>
      <c r="P624" s="19"/>
      <c r="Q624" s="19"/>
      <c r="R624" s="19"/>
    </row>
    <row r="625" ht="16.5" spans="1:18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9"/>
      <c r="L625" s="19"/>
      <c r="M625" s="19"/>
      <c r="N625" s="19"/>
      <c r="O625" s="19"/>
      <c r="P625" s="19"/>
      <c r="Q625" s="19"/>
      <c r="R625" s="19"/>
    </row>
    <row r="626" ht="16.5" spans="1:18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9"/>
      <c r="L626" s="19"/>
      <c r="M626" s="19"/>
      <c r="N626" s="19"/>
      <c r="O626" s="19"/>
      <c r="P626" s="19"/>
      <c r="Q626" s="19"/>
      <c r="R626" s="19"/>
    </row>
    <row r="627" ht="16.5" spans="1:18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9"/>
      <c r="L627" s="19"/>
      <c r="M627" s="19"/>
      <c r="N627" s="19"/>
      <c r="O627" s="19"/>
      <c r="P627" s="19"/>
      <c r="Q627" s="19"/>
      <c r="R627" s="19"/>
    </row>
    <row r="628" ht="16.5" spans="1:18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9"/>
      <c r="L628" s="19"/>
      <c r="M628" s="19"/>
      <c r="N628" s="19"/>
      <c r="O628" s="19"/>
      <c r="P628" s="19"/>
      <c r="Q628" s="19"/>
      <c r="R628" s="19"/>
    </row>
    <row r="629" ht="16.5" spans="1:18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9"/>
      <c r="L629" s="19"/>
      <c r="M629" s="19"/>
      <c r="N629" s="19"/>
      <c r="O629" s="19"/>
      <c r="P629" s="19"/>
      <c r="Q629" s="19"/>
      <c r="R629" s="19"/>
    </row>
    <row r="630" ht="16.5" spans="1:18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9"/>
      <c r="L630" s="19"/>
      <c r="M630" s="19"/>
      <c r="N630" s="19"/>
      <c r="O630" s="19"/>
      <c r="P630" s="19"/>
      <c r="Q630" s="19"/>
      <c r="R630" s="19"/>
    </row>
    <row r="631" ht="16.5" spans="1:18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9"/>
      <c r="L631" s="19"/>
      <c r="M631" s="19"/>
      <c r="N631" s="19"/>
      <c r="O631" s="19"/>
      <c r="P631" s="19"/>
      <c r="Q631" s="19"/>
      <c r="R631" s="19"/>
    </row>
    <row r="632" ht="16.5" spans="1:18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9"/>
      <c r="L632" s="19"/>
      <c r="M632" s="19"/>
      <c r="N632" s="19"/>
      <c r="O632" s="19"/>
      <c r="P632" s="19"/>
      <c r="Q632" s="19"/>
      <c r="R632" s="19"/>
    </row>
    <row r="633" ht="16.5" spans="1:18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9"/>
      <c r="L633" s="19"/>
      <c r="M633" s="19"/>
      <c r="N633" s="19"/>
      <c r="O633" s="19"/>
      <c r="P633" s="19"/>
      <c r="Q633" s="19"/>
      <c r="R633" s="19"/>
    </row>
    <row r="634" ht="16.5" spans="1:18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9"/>
      <c r="L634" s="19"/>
      <c r="M634" s="19"/>
      <c r="N634" s="19"/>
      <c r="O634" s="19"/>
      <c r="P634" s="19"/>
      <c r="Q634" s="19"/>
      <c r="R634" s="19"/>
    </row>
    <row r="635" ht="16.5" spans="1:18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9"/>
      <c r="L635" s="19"/>
      <c r="M635" s="19"/>
      <c r="N635" s="19"/>
      <c r="O635" s="19"/>
      <c r="P635" s="19"/>
      <c r="Q635" s="19"/>
      <c r="R635" s="19"/>
    </row>
    <row r="636" ht="16.5" spans="1:18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9"/>
      <c r="L636" s="19"/>
      <c r="M636" s="19"/>
      <c r="N636" s="19"/>
      <c r="O636" s="19"/>
      <c r="P636" s="19"/>
      <c r="Q636" s="19"/>
      <c r="R636" s="19"/>
    </row>
    <row r="637" ht="16.5" spans="1:18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9"/>
      <c r="L637" s="19"/>
      <c r="M637" s="19"/>
      <c r="N637" s="19"/>
      <c r="O637" s="19"/>
      <c r="P637" s="19"/>
      <c r="Q637" s="19"/>
      <c r="R637" s="19"/>
    </row>
    <row r="638" ht="16.5" spans="1:18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9"/>
      <c r="L638" s="19"/>
      <c r="M638" s="19"/>
      <c r="N638" s="19"/>
      <c r="O638" s="19"/>
      <c r="P638" s="19"/>
      <c r="Q638" s="19"/>
      <c r="R638" s="19"/>
    </row>
    <row r="639" ht="16.5" spans="1:18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9"/>
      <c r="L639" s="19"/>
      <c r="M639" s="19"/>
      <c r="N639" s="19"/>
      <c r="O639" s="19"/>
      <c r="P639" s="19"/>
      <c r="Q639" s="19"/>
      <c r="R639" s="19"/>
    </row>
    <row r="640" ht="16.5" spans="1:18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9"/>
      <c r="L640" s="19"/>
      <c r="M640" s="19"/>
      <c r="N640" s="19"/>
      <c r="O640" s="19"/>
      <c r="P640" s="19"/>
      <c r="Q640" s="19"/>
      <c r="R640" s="19"/>
    </row>
    <row r="641" ht="16.5" spans="1:18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9"/>
      <c r="L641" s="19"/>
      <c r="M641" s="19"/>
      <c r="N641" s="19"/>
      <c r="O641" s="19"/>
      <c r="P641" s="19"/>
      <c r="Q641" s="19"/>
      <c r="R641" s="19"/>
    </row>
    <row r="642" ht="16.5" spans="1:18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9"/>
      <c r="L642" s="19"/>
      <c r="M642" s="19"/>
      <c r="N642" s="19"/>
      <c r="O642" s="19"/>
      <c r="P642" s="19"/>
      <c r="Q642" s="19"/>
      <c r="R642" s="19"/>
    </row>
    <row r="643" ht="16.5" spans="1:18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9"/>
      <c r="L643" s="19"/>
      <c r="M643" s="19"/>
      <c r="N643" s="19"/>
      <c r="O643" s="19"/>
      <c r="P643" s="19"/>
      <c r="Q643" s="19"/>
      <c r="R643" s="19"/>
    </row>
    <row r="644" ht="16.5" spans="1:18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9"/>
      <c r="L644" s="19"/>
      <c r="M644" s="19"/>
      <c r="N644" s="19"/>
      <c r="O644" s="19"/>
      <c r="P644" s="19"/>
      <c r="Q644" s="19"/>
      <c r="R644" s="19"/>
    </row>
    <row r="645" ht="16.5" spans="1:18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9"/>
      <c r="L645" s="19"/>
      <c r="M645" s="19"/>
      <c r="N645" s="19"/>
      <c r="O645" s="19"/>
      <c r="P645" s="19"/>
      <c r="Q645" s="19"/>
      <c r="R645" s="19"/>
    </row>
    <row r="646" ht="16.5" spans="1:18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9"/>
      <c r="L646" s="19"/>
      <c r="M646" s="19"/>
      <c r="N646" s="19"/>
      <c r="O646" s="19"/>
      <c r="P646" s="19"/>
      <c r="Q646" s="19"/>
      <c r="R646" s="19"/>
    </row>
    <row r="647" ht="16.5" spans="1:18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9"/>
      <c r="L647" s="19"/>
      <c r="M647" s="19"/>
      <c r="N647" s="19"/>
      <c r="O647" s="19"/>
      <c r="P647" s="19"/>
      <c r="Q647" s="19"/>
      <c r="R647" s="19"/>
    </row>
    <row r="648" ht="16.5" spans="1:18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9"/>
      <c r="L648" s="19"/>
      <c r="M648" s="19"/>
      <c r="N648" s="19"/>
      <c r="O648" s="19"/>
      <c r="P648" s="19"/>
      <c r="Q648" s="19"/>
      <c r="R648" s="19"/>
    </row>
    <row r="649" ht="16.5" spans="1:18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9"/>
      <c r="L649" s="19"/>
      <c r="M649" s="19"/>
      <c r="N649" s="19"/>
      <c r="O649" s="19"/>
      <c r="P649" s="19"/>
      <c r="Q649" s="19"/>
      <c r="R649" s="19"/>
    </row>
    <row r="650" ht="16.5" spans="1:18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9"/>
      <c r="L650" s="19"/>
      <c r="M650" s="19"/>
      <c r="N650" s="19"/>
      <c r="O650" s="19"/>
      <c r="P650" s="19"/>
      <c r="Q650" s="19"/>
      <c r="R650" s="19"/>
    </row>
    <row r="651" ht="16.5" spans="1:18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9"/>
      <c r="L651" s="19"/>
      <c r="M651" s="19"/>
      <c r="N651" s="19"/>
      <c r="O651" s="19"/>
      <c r="P651" s="19"/>
      <c r="Q651" s="19"/>
      <c r="R651" s="19"/>
    </row>
    <row r="652" ht="20.25" spans="1:18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1"/>
      <c r="B1034" s="21"/>
      <c r="C1034" s="21"/>
      <c r="D1034" s="21"/>
      <c r="E1034" s="21"/>
      <c r="F1034" s="21"/>
      <c r="G1034" s="21"/>
      <c r="H1034" s="21"/>
      <c r="I1034" s="21"/>
      <c r="J1034" s="21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1"/>
      <c r="B1035" s="21"/>
      <c r="C1035" s="21"/>
      <c r="D1035" s="21"/>
      <c r="E1035" s="21"/>
      <c r="F1035" s="21"/>
      <c r="G1035" s="21"/>
      <c r="H1035" s="21"/>
      <c r="I1035" s="21"/>
      <c r="J1035" s="21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1"/>
      <c r="B1036" s="21"/>
      <c r="C1036" s="21"/>
      <c r="D1036" s="21"/>
      <c r="E1036" s="21"/>
      <c r="F1036" s="21"/>
      <c r="G1036" s="21"/>
      <c r="H1036" s="21"/>
      <c r="I1036" s="21"/>
      <c r="J1036" s="21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1"/>
      <c r="B1038" s="21"/>
      <c r="C1038" s="21"/>
      <c r="D1038" s="21"/>
      <c r="E1038" s="21"/>
      <c r="F1038" s="21"/>
      <c r="G1038" s="21"/>
      <c r="H1038" s="21"/>
      <c r="I1038" s="21"/>
      <c r="J1038" s="21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1"/>
      <c r="B1039" s="21"/>
      <c r="C1039" s="21"/>
      <c r="D1039" s="21"/>
      <c r="E1039" s="21"/>
      <c r="F1039" s="21"/>
      <c r="G1039" s="21"/>
      <c r="H1039" s="21"/>
      <c r="I1039" s="21"/>
      <c r="J1039" s="21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1"/>
      <c r="B1040" s="21"/>
      <c r="C1040" s="21"/>
      <c r="D1040" s="21"/>
      <c r="E1040" s="21"/>
      <c r="F1040" s="21"/>
      <c r="G1040" s="21"/>
      <c r="H1040" s="21"/>
      <c r="I1040" s="21"/>
      <c r="J1040" s="21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1"/>
      <c r="B1041" s="21"/>
      <c r="C1041" s="21"/>
      <c r="D1041" s="21"/>
      <c r="E1041" s="21"/>
      <c r="F1041" s="21"/>
      <c r="G1041" s="21"/>
      <c r="H1041" s="21"/>
      <c r="I1041" s="21"/>
      <c r="J1041" s="21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1"/>
      <c r="B1042" s="21"/>
      <c r="C1042" s="21"/>
      <c r="D1042" s="21"/>
      <c r="E1042" s="21"/>
      <c r="F1042" s="21"/>
      <c r="G1042" s="21"/>
      <c r="H1042" s="21"/>
      <c r="I1042" s="21"/>
      <c r="J1042" s="21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1"/>
      <c r="B1043" s="21"/>
      <c r="C1043" s="21"/>
      <c r="D1043" s="21"/>
      <c r="E1043" s="21"/>
      <c r="F1043" s="21"/>
      <c r="G1043" s="21"/>
      <c r="H1043" s="21"/>
      <c r="I1043" s="21"/>
      <c r="J1043" s="21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1"/>
      <c r="B1044" s="21"/>
      <c r="C1044" s="21"/>
      <c r="D1044" s="21"/>
      <c r="E1044" s="21"/>
      <c r="F1044" s="21"/>
      <c r="G1044" s="21"/>
      <c r="H1044" s="21"/>
      <c r="I1044" s="21"/>
      <c r="J1044" s="21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1"/>
      <c r="B1046" s="21"/>
      <c r="C1046" s="21"/>
      <c r="D1046" s="21"/>
      <c r="E1046" s="21"/>
      <c r="F1046" s="21"/>
      <c r="G1046" s="21"/>
      <c r="H1046" s="21"/>
      <c r="I1046" s="21"/>
      <c r="J1046" s="21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1"/>
      <c r="B1047" s="21"/>
      <c r="C1047" s="21"/>
      <c r="D1047" s="21"/>
      <c r="E1047" s="21"/>
      <c r="F1047" s="21"/>
      <c r="G1047" s="21"/>
      <c r="H1047" s="21"/>
      <c r="I1047" s="21"/>
      <c r="J1047" s="21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1"/>
      <c r="B1048" s="21"/>
      <c r="C1048" s="21"/>
      <c r="D1048" s="21"/>
      <c r="E1048" s="21"/>
      <c r="F1048" s="21"/>
      <c r="G1048" s="21"/>
      <c r="H1048" s="21"/>
      <c r="I1048" s="21"/>
      <c r="J1048" s="21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1"/>
      <c r="B1049" s="21"/>
      <c r="C1049" s="21"/>
      <c r="D1049" s="21"/>
      <c r="E1049" s="21"/>
      <c r="F1049" s="21"/>
      <c r="G1049" s="21"/>
      <c r="H1049" s="21"/>
      <c r="I1049" s="21"/>
      <c r="J1049" s="21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1"/>
      <c r="B1050" s="21"/>
      <c r="C1050" s="21"/>
      <c r="D1050" s="21"/>
      <c r="E1050" s="21"/>
      <c r="F1050" s="21"/>
      <c r="G1050" s="21"/>
      <c r="H1050" s="21"/>
      <c r="I1050" s="21"/>
      <c r="J1050" s="21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1"/>
      <c r="B1051" s="21"/>
      <c r="C1051" s="21"/>
      <c r="D1051" s="21"/>
      <c r="E1051" s="21"/>
      <c r="F1051" s="21"/>
      <c r="G1051" s="21"/>
      <c r="H1051" s="21"/>
      <c r="I1051" s="21"/>
      <c r="J1051" s="21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1"/>
      <c r="B1052" s="21"/>
      <c r="C1052" s="21"/>
      <c r="D1052" s="21"/>
      <c r="E1052" s="21"/>
      <c r="F1052" s="21"/>
      <c r="G1052" s="21"/>
      <c r="H1052" s="21"/>
      <c r="I1052" s="21"/>
      <c r="J1052" s="21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1"/>
      <c r="B1053" s="21"/>
      <c r="C1053" s="21"/>
      <c r="D1053" s="21"/>
      <c r="E1053" s="21"/>
      <c r="F1053" s="21"/>
      <c r="G1053" s="21"/>
      <c r="H1053" s="21"/>
      <c r="I1053" s="21"/>
      <c r="J1053" s="21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1"/>
      <c r="B1054" s="21"/>
      <c r="C1054" s="21"/>
      <c r="D1054" s="21"/>
      <c r="E1054" s="21"/>
      <c r="F1054" s="21"/>
      <c r="G1054" s="21"/>
      <c r="H1054" s="21"/>
      <c r="I1054" s="21"/>
      <c r="J1054" s="21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1"/>
      <c r="B1055" s="21"/>
      <c r="C1055" s="21"/>
      <c r="D1055" s="21"/>
      <c r="E1055" s="21"/>
      <c r="F1055" s="21"/>
      <c r="G1055" s="21"/>
      <c r="H1055" s="21"/>
      <c r="I1055" s="21"/>
      <c r="J1055" s="21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1"/>
      <c r="B1056" s="21"/>
      <c r="C1056" s="21"/>
      <c r="D1056" s="21"/>
      <c r="E1056" s="21"/>
      <c r="F1056" s="21"/>
      <c r="G1056" s="21"/>
      <c r="H1056" s="21"/>
      <c r="I1056" s="21"/>
      <c r="J1056" s="21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1"/>
      <c r="B1057" s="21"/>
      <c r="C1057" s="21"/>
      <c r="D1057" s="21"/>
      <c r="E1057" s="21"/>
      <c r="F1057" s="21"/>
      <c r="G1057" s="21"/>
      <c r="H1057" s="21"/>
      <c r="I1057" s="21"/>
      <c r="J1057" s="21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1"/>
      <c r="B1058" s="21"/>
      <c r="C1058" s="21"/>
      <c r="D1058" s="21"/>
      <c r="E1058" s="21"/>
      <c r="F1058" s="21"/>
      <c r="G1058" s="21"/>
      <c r="H1058" s="21"/>
      <c r="I1058" s="21"/>
      <c r="J1058" s="21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1"/>
      <c r="B1059" s="21"/>
      <c r="C1059" s="21"/>
      <c r="D1059" s="21"/>
      <c r="E1059" s="21"/>
      <c r="F1059" s="21"/>
      <c r="G1059" s="21"/>
      <c r="H1059" s="21"/>
      <c r="I1059" s="21"/>
      <c r="J1059" s="21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1"/>
      <c r="B1060" s="21"/>
      <c r="C1060" s="21"/>
      <c r="D1060" s="21"/>
      <c r="E1060" s="21"/>
      <c r="F1060" s="21"/>
      <c r="G1060" s="21"/>
      <c r="H1060" s="21"/>
      <c r="I1060" s="21"/>
      <c r="J1060" s="21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1"/>
      <c r="B1061" s="21"/>
      <c r="C1061" s="21"/>
      <c r="D1061" s="21"/>
      <c r="E1061" s="21"/>
      <c r="F1061" s="21"/>
      <c r="G1061" s="21"/>
      <c r="H1061" s="21"/>
      <c r="I1061" s="21"/>
      <c r="J1061" s="21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1"/>
      <c r="B1062" s="21"/>
      <c r="C1062" s="21"/>
      <c r="D1062" s="21"/>
      <c r="E1062" s="21"/>
      <c r="F1062" s="21"/>
      <c r="G1062" s="21"/>
      <c r="H1062" s="21"/>
      <c r="I1062" s="21"/>
      <c r="J1062" s="21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1"/>
      <c r="B1063" s="21"/>
      <c r="C1063" s="21"/>
      <c r="D1063" s="21"/>
      <c r="E1063" s="21"/>
      <c r="F1063" s="21"/>
      <c r="G1063" s="21"/>
      <c r="H1063" s="21"/>
      <c r="I1063" s="21"/>
      <c r="J1063" s="21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1"/>
      <c r="B1064" s="21"/>
      <c r="C1064" s="21"/>
      <c r="D1064" s="21"/>
      <c r="E1064" s="21"/>
      <c r="F1064" s="21"/>
      <c r="G1064" s="21"/>
      <c r="H1064" s="21"/>
      <c r="I1064" s="21"/>
      <c r="J1064" s="21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1"/>
      <c r="B1065" s="21"/>
      <c r="C1065" s="21"/>
      <c r="D1065" s="21"/>
      <c r="E1065" s="21"/>
      <c r="F1065" s="21"/>
      <c r="G1065" s="21"/>
      <c r="H1065" s="21"/>
      <c r="I1065" s="21"/>
      <c r="J1065" s="21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1"/>
      <c r="B1066" s="21"/>
      <c r="C1066" s="21"/>
      <c r="D1066" s="21"/>
      <c r="E1066" s="21"/>
      <c r="F1066" s="21"/>
      <c r="G1066" s="21"/>
      <c r="H1066" s="21"/>
      <c r="I1066" s="21"/>
      <c r="J1066" s="21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1"/>
      <c r="B1067" s="21"/>
      <c r="C1067" s="21"/>
      <c r="D1067" s="21"/>
      <c r="E1067" s="21"/>
      <c r="F1067" s="21"/>
      <c r="G1067" s="21"/>
      <c r="H1067" s="21"/>
      <c r="I1067" s="21"/>
      <c r="J1067" s="21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1"/>
      <c r="B1068" s="21"/>
      <c r="C1068" s="21"/>
      <c r="D1068" s="21"/>
      <c r="E1068" s="21"/>
      <c r="F1068" s="21"/>
      <c r="G1068" s="21"/>
      <c r="H1068" s="21"/>
      <c r="I1068" s="21"/>
      <c r="J1068" s="21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1"/>
      <c r="B1069" s="21"/>
      <c r="C1069" s="21"/>
      <c r="D1069" s="21"/>
      <c r="E1069" s="21"/>
      <c r="F1069" s="21"/>
      <c r="G1069" s="21"/>
      <c r="H1069" s="21"/>
      <c r="I1069" s="21"/>
      <c r="J1069" s="21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1"/>
      <c r="B1070" s="21"/>
      <c r="C1070" s="21"/>
      <c r="D1070" s="21"/>
      <c r="E1070" s="21"/>
      <c r="F1070" s="21"/>
      <c r="G1070" s="21"/>
      <c r="H1070" s="21"/>
      <c r="I1070" s="21"/>
      <c r="J1070" s="21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1"/>
      <c r="B1071" s="21"/>
      <c r="C1071" s="21"/>
      <c r="D1071" s="21"/>
      <c r="E1071" s="21"/>
      <c r="F1071" s="21"/>
      <c r="G1071" s="21"/>
      <c r="H1071" s="21"/>
      <c r="I1071" s="21"/>
      <c r="J1071" s="21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1"/>
      <c r="B1072" s="21"/>
      <c r="C1072" s="21"/>
      <c r="D1072" s="21"/>
      <c r="E1072" s="21"/>
      <c r="F1072" s="21"/>
      <c r="G1072" s="21"/>
      <c r="H1072" s="21"/>
      <c r="I1072" s="21"/>
      <c r="J1072" s="21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1"/>
      <c r="B1073" s="21"/>
      <c r="C1073" s="21"/>
      <c r="D1073" s="21"/>
      <c r="E1073" s="21"/>
      <c r="F1073" s="21"/>
      <c r="G1073" s="21"/>
      <c r="H1073" s="21"/>
      <c r="I1073" s="21"/>
      <c r="J1073" s="21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1"/>
      <c r="B1074" s="21"/>
      <c r="C1074" s="21"/>
      <c r="D1074" s="21"/>
      <c r="E1074" s="21"/>
      <c r="F1074" s="21"/>
      <c r="G1074" s="21"/>
      <c r="H1074" s="21"/>
      <c r="I1074" s="21"/>
      <c r="J1074" s="21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1"/>
      <c r="B1075" s="21"/>
      <c r="C1075" s="21"/>
      <c r="D1075" s="21"/>
      <c r="E1075" s="21"/>
      <c r="F1075" s="21"/>
      <c r="G1075" s="21"/>
      <c r="H1075" s="21"/>
      <c r="I1075" s="21"/>
      <c r="J1075" s="21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1"/>
      <c r="B1076" s="21"/>
      <c r="C1076" s="21"/>
      <c r="D1076" s="21"/>
      <c r="E1076" s="21"/>
      <c r="F1076" s="21"/>
      <c r="G1076" s="21"/>
      <c r="H1076" s="21"/>
      <c r="I1076" s="21"/>
      <c r="J1076" s="21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1"/>
      <c r="B1077" s="21"/>
      <c r="C1077" s="21"/>
      <c r="D1077" s="21"/>
      <c r="E1077" s="21"/>
      <c r="F1077" s="21"/>
      <c r="G1077" s="21"/>
      <c r="H1077" s="21"/>
      <c r="I1077" s="21"/>
      <c r="J1077" s="21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1"/>
      <c r="B1078" s="21"/>
      <c r="C1078" s="21"/>
      <c r="D1078" s="21"/>
      <c r="E1078" s="21"/>
      <c r="F1078" s="21"/>
      <c r="G1078" s="21"/>
      <c r="H1078" s="21"/>
      <c r="I1078" s="21"/>
      <c r="J1078" s="21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1"/>
      <c r="B1079" s="21"/>
      <c r="C1079" s="21"/>
      <c r="D1079" s="21"/>
      <c r="E1079" s="21"/>
      <c r="F1079" s="21"/>
      <c r="G1079" s="21"/>
      <c r="H1079" s="21"/>
      <c r="I1079" s="21"/>
      <c r="J1079" s="21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1"/>
      <c r="B1080" s="21"/>
      <c r="C1080" s="21"/>
      <c r="D1080" s="21"/>
      <c r="E1080" s="21"/>
      <c r="F1080" s="21"/>
      <c r="G1080" s="21"/>
      <c r="H1080" s="21"/>
      <c r="I1080" s="21"/>
      <c r="J1080" s="21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1"/>
      <c r="B1081" s="21"/>
      <c r="C1081" s="21"/>
      <c r="D1081" s="21"/>
      <c r="E1081" s="21"/>
      <c r="F1081" s="21"/>
      <c r="G1081" s="21"/>
      <c r="H1081" s="21"/>
      <c r="I1081" s="21"/>
      <c r="J1081" s="21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1"/>
      <c r="B1082" s="21"/>
      <c r="C1082" s="21"/>
      <c r="D1082" s="21"/>
      <c r="E1082" s="21"/>
      <c r="F1082" s="21"/>
      <c r="G1082" s="21"/>
      <c r="H1082" s="21"/>
      <c r="I1082" s="21"/>
      <c r="J1082" s="21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1"/>
      <c r="B1083" s="21"/>
      <c r="C1083" s="21"/>
      <c r="D1083" s="21"/>
      <c r="E1083" s="21"/>
      <c r="F1083" s="21"/>
      <c r="G1083" s="21"/>
      <c r="H1083" s="21"/>
      <c r="I1083" s="21"/>
      <c r="J1083" s="21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1"/>
      <c r="B1084" s="21"/>
      <c r="C1084" s="21"/>
      <c r="D1084" s="21"/>
      <c r="E1084" s="21"/>
      <c r="F1084" s="21"/>
      <c r="G1084" s="21"/>
      <c r="H1084" s="21"/>
      <c r="I1084" s="21"/>
      <c r="J1084" s="21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1"/>
      <c r="B1086" s="21"/>
      <c r="C1086" s="21"/>
      <c r="D1086" s="21"/>
      <c r="E1086" s="21"/>
      <c r="F1086" s="21"/>
      <c r="G1086" s="21"/>
      <c r="H1086" s="21"/>
      <c r="I1086" s="21"/>
      <c r="J1086" s="21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1"/>
      <c r="B1087" s="21"/>
      <c r="C1087" s="21"/>
      <c r="D1087" s="21"/>
      <c r="E1087" s="21"/>
      <c r="F1087" s="21"/>
      <c r="G1087" s="21"/>
      <c r="H1087" s="21"/>
      <c r="I1087" s="21"/>
      <c r="J1087" s="21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1"/>
      <c r="B1088" s="21"/>
      <c r="C1088" s="21"/>
      <c r="D1088" s="21"/>
      <c r="E1088" s="21"/>
      <c r="F1088" s="21"/>
      <c r="G1088" s="21"/>
      <c r="H1088" s="21"/>
      <c r="I1088" s="21"/>
      <c r="J1088" s="21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1"/>
      <c r="B1089" s="21"/>
      <c r="C1089" s="21"/>
      <c r="D1089" s="21"/>
      <c r="E1089" s="21"/>
      <c r="F1089" s="21"/>
      <c r="G1089" s="21"/>
      <c r="H1089" s="21"/>
      <c r="I1089" s="21"/>
      <c r="J1089" s="21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1"/>
      <c r="B1090" s="21"/>
      <c r="C1090" s="21"/>
      <c r="D1090" s="21"/>
      <c r="E1090" s="21"/>
      <c r="F1090" s="21"/>
      <c r="G1090" s="21"/>
      <c r="H1090" s="21"/>
      <c r="I1090" s="21"/>
      <c r="J1090" s="21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1"/>
      <c r="B1091" s="21"/>
      <c r="C1091" s="21"/>
      <c r="D1091" s="21"/>
      <c r="E1091" s="21"/>
      <c r="F1091" s="21"/>
      <c r="G1091" s="21"/>
      <c r="H1091" s="21"/>
      <c r="I1091" s="21"/>
      <c r="J1091" s="21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1"/>
      <c r="B1092" s="21"/>
      <c r="C1092" s="21"/>
      <c r="D1092" s="21"/>
      <c r="E1092" s="21"/>
      <c r="F1092" s="21"/>
      <c r="G1092" s="21"/>
      <c r="H1092" s="21"/>
      <c r="I1092" s="21"/>
      <c r="J1092" s="21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1"/>
      <c r="B1093" s="21"/>
      <c r="C1093" s="21"/>
      <c r="D1093" s="21"/>
      <c r="E1093" s="21"/>
      <c r="F1093" s="21"/>
      <c r="G1093" s="21"/>
      <c r="H1093" s="21"/>
      <c r="I1093" s="21"/>
      <c r="J1093" s="21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1"/>
      <c r="B1094" s="21"/>
      <c r="C1094" s="21"/>
      <c r="D1094" s="21"/>
      <c r="E1094" s="21"/>
      <c r="F1094" s="21"/>
      <c r="G1094" s="21"/>
      <c r="H1094" s="21"/>
      <c r="I1094" s="21"/>
      <c r="J1094" s="21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1"/>
      <c r="B1095" s="21"/>
      <c r="C1095" s="21"/>
      <c r="D1095" s="21"/>
      <c r="E1095" s="21"/>
      <c r="F1095" s="21"/>
      <c r="G1095" s="21"/>
      <c r="H1095" s="21"/>
      <c r="I1095" s="21"/>
      <c r="J1095" s="21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1"/>
      <c r="B1096" s="21"/>
      <c r="C1096" s="21"/>
      <c r="D1096" s="21"/>
      <c r="E1096" s="21"/>
      <c r="F1096" s="21"/>
      <c r="G1096" s="21"/>
      <c r="H1096" s="21"/>
      <c r="I1096" s="21"/>
      <c r="J1096" s="21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1"/>
      <c r="B1097" s="21"/>
      <c r="C1097" s="21"/>
      <c r="D1097" s="21"/>
      <c r="E1097" s="21"/>
      <c r="F1097" s="21"/>
      <c r="G1097" s="21"/>
      <c r="H1097" s="21"/>
      <c r="I1097" s="21"/>
      <c r="J1097" s="21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1"/>
      <c r="B1098" s="21"/>
      <c r="C1098" s="21"/>
      <c r="D1098" s="21"/>
      <c r="E1098" s="21"/>
      <c r="F1098" s="21"/>
      <c r="G1098" s="21"/>
      <c r="H1098" s="21"/>
      <c r="I1098" s="21"/>
      <c r="J1098" s="21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1"/>
      <c r="B1099" s="21"/>
      <c r="C1099" s="21"/>
      <c r="D1099" s="21"/>
      <c r="E1099" s="21"/>
      <c r="F1099" s="21"/>
      <c r="G1099" s="21"/>
      <c r="H1099" s="21"/>
      <c r="I1099" s="21"/>
      <c r="J1099" s="21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1"/>
      <c r="B1100" s="21"/>
      <c r="C1100" s="21"/>
      <c r="D1100" s="21"/>
      <c r="E1100" s="21"/>
      <c r="F1100" s="21"/>
      <c r="G1100" s="21"/>
      <c r="H1100" s="21"/>
      <c r="I1100" s="21"/>
      <c r="J1100" s="21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1"/>
      <c r="B1101" s="21"/>
      <c r="C1101" s="21"/>
      <c r="D1101" s="21"/>
      <c r="E1101" s="21"/>
      <c r="F1101" s="21"/>
      <c r="G1101" s="21"/>
      <c r="H1101" s="21"/>
      <c r="I1101" s="21"/>
      <c r="J1101" s="21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1"/>
      <c r="B1102" s="21"/>
      <c r="C1102" s="21"/>
      <c r="D1102" s="21"/>
      <c r="E1102" s="21"/>
      <c r="F1102" s="21"/>
      <c r="G1102" s="21"/>
      <c r="H1102" s="21"/>
      <c r="I1102" s="21"/>
      <c r="J1102" s="21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1"/>
      <c r="B1103" s="21"/>
      <c r="C1103" s="21"/>
      <c r="D1103" s="21"/>
      <c r="E1103" s="21"/>
      <c r="F1103" s="21"/>
      <c r="G1103" s="21"/>
      <c r="H1103" s="21"/>
      <c r="I1103" s="21"/>
      <c r="J1103" s="21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1"/>
      <c r="B1104" s="21"/>
      <c r="C1104" s="21"/>
      <c r="D1104" s="21"/>
      <c r="E1104" s="21"/>
      <c r="F1104" s="21"/>
      <c r="G1104" s="21"/>
      <c r="H1104" s="21"/>
      <c r="I1104" s="21"/>
      <c r="J1104" s="21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1"/>
      <c r="B1105" s="21"/>
      <c r="C1105" s="21"/>
      <c r="D1105" s="21"/>
      <c r="E1105" s="21"/>
      <c r="F1105" s="21"/>
      <c r="G1105" s="21"/>
      <c r="H1105" s="21"/>
      <c r="I1105" s="21"/>
      <c r="J1105" s="21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1"/>
      <c r="B1106" s="21"/>
      <c r="C1106" s="21"/>
      <c r="D1106" s="21"/>
      <c r="E1106" s="21"/>
      <c r="F1106" s="21"/>
      <c r="G1106" s="21"/>
      <c r="H1106" s="21"/>
      <c r="I1106" s="21"/>
      <c r="J1106" s="21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1"/>
      <c r="B1107" s="21"/>
      <c r="C1107" s="21"/>
      <c r="D1107" s="21"/>
      <c r="E1107" s="21"/>
      <c r="F1107" s="21"/>
      <c r="G1107" s="21"/>
      <c r="H1107" s="21"/>
      <c r="I1107" s="21"/>
      <c r="J1107" s="21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1"/>
      <c r="B1108" s="21"/>
      <c r="C1108" s="21"/>
      <c r="D1108" s="21"/>
      <c r="E1108" s="21"/>
      <c r="F1108" s="21"/>
      <c r="G1108" s="21"/>
      <c r="H1108" s="21"/>
      <c r="I1108" s="21"/>
      <c r="J1108" s="21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1"/>
      <c r="B1109" s="21"/>
      <c r="C1109" s="21"/>
      <c r="D1109" s="21"/>
      <c r="E1109" s="21"/>
      <c r="F1109" s="21"/>
      <c r="G1109" s="21"/>
      <c r="H1109" s="21"/>
      <c r="I1109" s="21"/>
      <c r="J1109" s="21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1"/>
      <c r="B1110" s="21"/>
      <c r="C1110" s="21"/>
      <c r="D1110" s="21"/>
      <c r="E1110" s="21"/>
      <c r="F1110" s="21"/>
      <c r="G1110" s="21"/>
      <c r="H1110" s="21"/>
      <c r="I1110" s="21"/>
      <c r="J1110" s="21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1"/>
      <c r="B1111" s="21"/>
      <c r="C1111" s="21"/>
      <c r="D1111" s="21"/>
      <c r="E1111" s="21"/>
      <c r="F1111" s="21"/>
      <c r="G1111" s="21"/>
      <c r="H1111" s="21"/>
      <c r="I1111" s="21"/>
      <c r="J1111" s="21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1"/>
      <c r="B1112" s="21"/>
      <c r="C1112" s="21"/>
      <c r="D1112" s="21"/>
      <c r="E1112" s="21"/>
      <c r="F1112" s="21"/>
      <c r="G1112" s="21"/>
      <c r="H1112" s="21"/>
      <c r="I1112" s="21"/>
      <c r="J1112" s="21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1"/>
      <c r="B1113" s="21"/>
      <c r="C1113" s="21"/>
      <c r="D1113" s="21"/>
      <c r="E1113" s="21"/>
      <c r="F1113" s="21"/>
      <c r="G1113" s="21"/>
      <c r="H1113" s="21"/>
      <c r="I1113" s="21"/>
      <c r="J1113" s="21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1"/>
      <c r="B1114" s="21"/>
      <c r="C1114" s="21"/>
      <c r="D1114" s="21"/>
      <c r="E1114" s="21"/>
      <c r="F1114" s="21"/>
      <c r="G1114" s="21"/>
      <c r="H1114" s="21"/>
      <c r="I1114" s="21"/>
      <c r="J1114" s="21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1"/>
      <c r="B1115" s="21"/>
      <c r="C1115" s="21"/>
      <c r="D1115" s="21"/>
      <c r="E1115" s="21"/>
      <c r="F1115" s="21"/>
      <c r="G1115" s="21"/>
      <c r="H1115" s="21"/>
      <c r="I1115" s="21"/>
      <c r="J1115" s="21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1"/>
      <c r="B1116" s="21"/>
      <c r="C1116" s="21"/>
      <c r="D1116" s="21"/>
      <c r="E1116" s="21"/>
      <c r="F1116" s="21"/>
      <c r="G1116" s="21"/>
      <c r="H1116" s="21"/>
      <c r="I1116" s="21"/>
      <c r="J1116" s="21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1"/>
      <c r="B1117" s="21"/>
      <c r="C1117" s="21"/>
      <c r="D1117" s="21"/>
      <c r="E1117" s="21"/>
      <c r="F1117" s="21"/>
      <c r="G1117" s="21"/>
      <c r="H1117" s="21"/>
      <c r="I1117" s="21"/>
      <c r="J1117" s="21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1"/>
      <c r="B1118" s="21"/>
      <c r="C1118" s="21"/>
      <c r="D1118" s="21"/>
      <c r="E1118" s="21"/>
      <c r="F1118" s="21"/>
      <c r="G1118" s="21"/>
      <c r="H1118" s="21"/>
      <c r="I1118" s="21"/>
      <c r="J1118" s="21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1"/>
      <c r="B1119" s="21"/>
      <c r="C1119" s="21"/>
      <c r="D1119" s="21"/>
      <c r="E1119" s="21"/>
      <c r="F1119" s="21"/>
      <c r="G1119" s="21"/>
      <c r="H1119" s="21"/>
      <c r="I1119" s="21"/>
      <c r="J1119" s="21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1"/>
      <c r="B1120" s="21"/>
      <c r="C1120" s="21"/>
      <c r="D1120" s="21"/>
      <c r="E1120" s="21"/>
      <c r="F1120" s="21"/>
      <c r="G1120" s="21"/>
      <c r="H1120" s="21"/>
      <c r="I1120" s="21"/>
      <c r="J1120" s="21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1"/>
      <c r="B1121" s="21"/>
      <c r="C1121" s="21"/>
      <c r="D1121" s="21"/>
      <c r="E1121" s="21"/>
      <c r="F1121" s="21"/>
      <c r="G1121" s="21"/>
      <c r="H1121" s="21"/>
      <c r="I1121" s="21"/>
      <c r="J1121" s="21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1"/>
      <c r="B1122" s="21"/>
      <c r="C1122" s="21"/>
      <c r="D1122" s="21"/>
      <c r="E1122" s="21"/>
      <c r="F1122" s="21"/>
      <c r="G1122" s="21"/>
      <c r="H1122" s="21"/>
      <c r="I1122" s="21"/>
      <c r="J1122" s="21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1"/>
      <c r="B1123" s="21"/>
      <c r="C1123" s="21"/>
      <c r="D1123" s="21"/>
      <c r="E1123" s="21"/>
      <c r="F1123" s="21"/>
      <c r="G1123" s="21"/>
      <c r="H1123" s="21"/>
      <c r="I1123" s="21"/>
      <c r="J1123" s="21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1"/>
      <c r="B1124" s="21"/>
      <c r="C1124" s="21"/>
      <c r="D1124" s="21"/>
      <c r="E1124" s="21"/>
      <c r="F1124" s="21"/>
      <c r="G1124" s="21"/>
      <c r="H1124" s="21"/>
      <c r="I1124" s="21"/>
      <c r="J1124" s="21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1"/>
      <c r="B1125" s="21"/>
      <c r="C1125" s="21"/>
      <c r="D1125" s="21"/>
      <c r="E1125" s="21"/>
      <c r="F1125" s="21"/>
      <c r="G1125" s="21"/>
      <c r="H1125" s="21"/>
      <c r="I1125" s="21"/>
      <c r="J1125" s="21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1"/>
      <c r="B1126" s="21"/>
      <c r="C1126" s="21"/>
      <c r="D1126" s="21"/>
      <c r="E1126" s="21"/>
      <c r="F1126" s="21"/>
      <c r="G1126" s="21"/>
      <c r="H1126" s="21"/>
      <c r="I1126" s="21"/>
      <c r="J1126" s="21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1"/>
      <c r="B1127" s="21"/>
      <c r="C1127" s="21"/>
      <c r="D1127" s="21"/>
      <c r="E1127" s="21"/>
      <c r="F1127" s="21"/>
      <c r="G1127" s="21"/>
      <c r="H1127" s="21"/>
      <c r="I1127" s="21"/>
      <c r="J1127" s="21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1"/>
      <c r="B1128" s="21"/>
      <c r="C1128" s="21"/>
      <c r="D1128" s="21"/>
      <c r="E1128" s="21"/>
      <c r="F1128" s="21"/>
      <c r="G1128" s="21"/>
      <c r="H1128" s="21"/>
      <c r="I1128" s="21"/>
      <c r="J1128" s="21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1"/>
      <c r="B1129" s="21"/>
      <c r="C1129" s="21"/>
      <c r="D1129" s="21"/>
      <c r="E1129" s="21"/>
      <c r="F1129" s="21"/>
      <c r="G1129" s="21"/>
      <c r="H1129" s="21"/>
      <c r="I1129" s="21"/>
      <c r="J1129" s="21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1"/>
      <c r="B1130" s="21"/>
      <c r="C1130" s="21"/>
      <c r="D1130" s="21"/>
      <c r="E1130" s="21"/>
      <c r="F1130" s="21"/>
      <c r="G1130" s="21"/>
      <c r="H1130" s="21"/>
      <c r="I1130" s="21"/>
      <c r="J1130" s="21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1"/>
      <c r="B1131" s="21"/>
      <c r="C1131" s="21"/>
      <c r="D1131" s="21"/>
      <c r="E1131" s="21"/>
      <c r="F1131" s="21"/>
      <c r="G1131" s="21"/>
      <c r="H1131" s="21"/>
      <c r="I1131" s="21"/>
      <c r="J1131" s="21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1"/>
      <c r="B1132" s="21"/>
      <c r="C1132" s="21"/>
      <c r="D1132" s="21"/>
      <c r="E1132" s="21"/>
      <c r="F1132" s="21"/>
      <c r="G1132" s="21"/>
      <c r="H1132" s="21"/>
      <c r="I1132" s="21"/>
      <c r="J1132" s="21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1"/>
      <c r="B1133" s="21"/>
      <c r="C1133" s="21"/>
      <c r="D1133" s="21"/>
      <c r="E1133" s="21"/>
      <c r="F1133" s="21"/>
      <c r="G1133" s="21"/>
      <c r="H1133" s="21"/>
      <c r="I1133" s="21"/>
      <c r="J1133" s="21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1"/>
      <c r="B1134" s="21"/>
      <c r="C1134" s="21"/>
      <c r="D1134" s="21"/>
      <c r="E1134" s="21"/>
      <c r="F1134" s="21"/>
      <c r="G1134" s="21"/>
      <c r="H1134" s="21"/>
      <c r="I1134" s="21"/>
      <c r="J1134" s="21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1"/>
      <c r="B1135" s="21"/>
      <c r="C1135" s="21"/>
      <c r="D1135" s="21"/>
      <c r="E1135" s="21"/>
      <c r="F1135" s="21"/>
      <c r="G1135" s="21"/>
      <c r="H1135" s="21"/>
      <c r="I1135" s="21"/>
      <c r="J1135" s="21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1"/>
      <c r="B1136" s="21"/>
      <c r="C1136" s="21"/>
      <c r="D1136" s="21"/>
      <c r="E1136" s="21"/>
      <c r="F1136" s="21"/>
      <c r="G1136" s="21"/>
      <c r="H1136" s="21"/>
      <c r="I1136" s="21"/>
      <c r="J1136" s="21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1"/>
      <c r="B1137" s="21"/>
      <c r="C1137" s="21"/>
      <c r="D1137" s="21"/>
      <c r="E1137" s="21"/>
      <c r="F1137" s="21"/>
      <c r="G1137" s="21"/>
      <c r="H1137" s="21"/>
      <c r="I1137" s="21"/>
      <c r="J1137" s="21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1"/>
      <c r="B1138" s="21"/>
      <c r="C1138" s="21"/>
      <c r="D1138" s="21"/>
      <c r="E1138" s="21"/>
      <c r="F1138" s="21"/>
      <c r="G1138" s="21"/>
      <c r="H1138" s="21"/>
      <c r="I1138" s="21"/>
      <c r="J1138" s="21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1"/>
      <c r="B1139" s="21"/>
      <c r="C1139" s="21"/>
      <c r="D1139" s="21"/>
      <c r="E1139" s="21"/>
      <c r="F1139" s="21"/>
      <c r="G1139" s="21"/>
      <c r="H1139" s="21"/>
      <c r="I1139" s="21"/>
      <c r="J1139" s="21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1"/>
      <c r="B1140" s="21"/>
      <c r="C1140" s="21"/>
      <c r="D1140" s="21"/>
      <c r="E1140" s="21"/>
      <c r="F1140" s="21"/>
      <c r="G1140" s="21"/>
      <c r="H1140" s="21"/>
      <c r="I1140" s="21"/>
      <c r="J1140" s="21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1"/>
      <c r="B1141" s="21"/>
      <c r="C1141" s="21"/>
      <c r="D1141" s="21"/>
      <c r="E1141" s="21"/>
      <c r="F1141" s="21"/>
      <c r="G1141" s="21"/>
      <c r="H1141" s="21"/>
      <c r="I1141" s="21"/>
      <c r="J1141" s="21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1"/>
      <c r="B1142" s="21"/>
      <c r="C1142" s="21"/>
      <c r="D1142" s="21"/>
      <c r="E1142" s="21"/>
      <c r="F1142" s="21"/>
      <c r="G1142" s="21"/>
      <c r="H1142" s="21"/>
      <c r="I1142" s="21"/>
      <c r="J1142" s="21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1"/>
      <c r="B1143" s="21"/>
      <c r="C1143" s="21"/>
      <c r="D1143" s="21"/>
      <c r="E1143" s="21"/>
      <c r="F1143" s="21"/>
      <c r="G1143" s="21"/>
      <c r="H1143" s="21"/>
      <c r="I1143" s="21"/>
      <c r="J1143" s="21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1"/>
      <c r="B1144" s="21"/>
      <c r="C1144" s="21"/>
      <c r="D1144" s="21"/>
      <c r="E1144" s="21"/>
      <c r="F1144" s="21"/>
      <c r="G1144" s="21"/>
      <c r="H1144" s="21"/>
      <c r="I1144" s="21"/>
      <c r="J1144" s="21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1"/>
      <c r="B1145" s="21"/>
      <c r="C1145" s="21"/>
      <c r="D1145" s="21"/>
      <c r="E1145" s="21"/>
      <c r="F1145" s="21"/>
      <c r="G1145" s="21"/>
      <c r="H1145" s="21"/>
      <c r="I1145" s="21"/>
      <c r="J1145" s="21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1"/>
      <c r="B1146" s="21"/>
      <c r="C1146" s="21"/>
      <c r="D1146" s="21"/>
      <c r="E1146" s="21"/>
      <c r="F1146" s="21"/>
      <c r="G1146" s="21"/>
      <c r="H1146" s="21"/>
      <c r="I1146" s="21"/>
      <c r="J1146" s="21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1"/>
      <c r="B1147" s="21"/>
      <c r="C1147" s="21"/>
      <c r="D1147" s="21"/>
      <c r="E1147" s="21"/>
      <c r="F1147" s="21"/>
      <c r="G1147" s="21"/>
      <c r="H1147" s="21"/>
      <c r="I1147" s="21"/>
      <c r="J1147" s="21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1"/>
      <c r="B1148" s="21"/>
      <c r="C1148" s="21"/>
      <c r="D1148" s="21"/>
      <c r="E1148" s="21"/>
      <c r="F1148" s="21"/>
      <c r="G1148" s="21"/>
      <c r="H1148" s="21"/>
      <c r="I1148" s="21"/>
      <c r="J1148" s="21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1"/>
      <c r="B1149" s="21"/>
      <c r="C1149" s="21"/>
      <c r="D1149" s="21"/>
      <c r="E1149" s="21"/>
      <c r="F1149" s="21"/>
      <c r="G1149" s="21"/>
      <c r="H1149" s="21"/>
      <c r="I1149" s="21"/>
      <c r="J1149" s="21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1"/>
      <c r="B1150" s="21"/>
      <c r="C1150" s="21"/>
      <c r="D1150" s="21"/>
      <c r="E1150" s="21"/>
      <c r="F1150" s="21"/>
      <c r="G1150" s="21"/>
      <c r="H1150" s="21"/>
      <c r="I1150" s="21"/>
      <c r="J1150" s="21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1"/>
      <c r="B1151" s="21"/>
      <c r="C1151" s="21"/>
      <c r="D1151" s="21"/>
      <c r="E1151" s="21"/>
      <c r="F1151" s="21"/>
      <c r="G1151" s="21"/>
      <c r="H1151" s="21"/>
      <c r="I1151" s="21"/>
      <c r="J1151" s="21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1"/>
      <c r="B1152" s="21"/>
      <c r="C1152" s="21"/>
      <c r="D1152" s="21"/>
      <c r="E1152" s="21"/>
      <c r="F1152" s="21"/>
      <c r="G1152" s="21"/>
      <c r="H1152" s="21"/>
      <c r="I1152" s="21"/>
      <c r="J1152" s="21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1"/>
      <c r="B1154" s="21"/>
      <c r="C1154" s="21"/>
      <c r="D1154" s="21"/>
      <c r="E1154" s="21"/>
      <c r="F1154" s="21"/>
      <c r="G1154" s="21"/>
      <c r="H1154" s="21"/>
      <c r="I1154" s="21"/>
      <c r="J1154" s="21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1"/>
      <c r="B1155" s="21"/>
      <c r="C1155" s="21"/>
      <c r="D1155" s="21"/>
      <c r="E1155" s="21"/>
      <c r="F1155" s="21"/>
      <c r="G1155" s="21"/>
      <c r="H1155" s="21"/>
      <c r="I1155" s="21"/>
      <c r="J1155" s="21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1"/>
      <c r="B1156" s="21"/>
      <c r="C1156" s="21"/>
      <c r="D1156" s="21"/>
      <c r="E1156" s="21"/>
      <c r="F1156" s="21"/>
      <c r="G1156" s="21"/>
      <c r="H1156" s="21"/>
      <c r="I1156" s="21"/>
      <c r="J1156" s="21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1"/>
      <c r="B1157" s="21"/>
      <c r="C1157" s="21"/>
      <c r="D1157" s="21"/>
      <c r="E1157" s="21"/>
      <c r="F1157" s="21"/>
      <c r="G1157" s="21"/>
      <c r="H1157" s="21"/>
      <c r="I1157" s="21"/>
      <c r="J1157" s="21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1"/>
      <c r="B1158" s="21"/>
      <c r="C1158" s="21"/>
      <c r="D1158" s="21"/>
      <c r="E1158" s="21"/>
      <c r="F1158" s="21"/>
      <c r="G1158" s="21"/>
      <c r="H1158" s="21"/>
      <c r="I1158" s="21"/>
      <c r="J1158" s="21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1"/>
      <c r="B1159" s="21"/>
      <c r="C1159" s="21"/>
      <c r="D1159" s="21"/>
      <c r="E1159" s="21"/>
      <c r="F1159" s="21"/>
      <c r="G1159" s="21"/>
      <c r="H1159" s="21"/>
      <c r="I1159" s="21"/>
      <c r="J1159" s="21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1"/>
      <c r="B1160" s="21"/>
      <c r="C1160" s="21"/>
      <c r="D1160" s="21"/>
      <c r="E1160" s="21"/>
      <c r="F1160" s="21"/>
      <c r="G1160" s="21"/>
      <c r="H1160" s="21"/>
      <c r="I1160" s="21"/>
      <c r="J1160" s="21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1"/>
      <c r="B1161" s="21"/>
      <c r="C1161" s="21"/>
      <c r="D1161" s="21"/>
      <c r="E1161" s="21"/>
      <c r="F1161" s="21"/>
      <c r="G1161" s="21"/>
      <c r="H1161" s="21"/>
      <c r="I1161" s="21"/>
      <c r="J1161" s="21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1"/>
      <c r="B1162" s="21"/>
      <c r="C1162" s="21"/>
      <c r="D1162" s="21"/>
      <c r="E1162" s="21"/>
      <c r="F1162" s="21"/>
      <c r="G1162" s="21"/>
      <c r="H1162" s="21"/>
      <c r="I1162" s="21"/>
      <c r="J1162" s="21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1"/>
      <c r="B1163" s="21"/>
      <c r="C1163" s="21"/>
      <c r="D1163" s="21"/>
      <c r="E1163" s="21"/>
      <c r="F1163" s="21"/>
      <c r="G1163" s="21"/>
      <c r="H1163" s="21"/>
      <c r="I1163" s="21"/>
      <c r="J1163" s="21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1"/>
      <c r="B1164" s="21"/>
      <c r="C1164" s="21"/>
      <c r="D1164" s="21"/>
      <c r="E1164" s="21"/>
      <c r="F1164" s="21"/>
      <c r="G1164" s="21"/>
      <c r="H1164" s="21"/>
      <c r="I1164" s="21"/>
      <c r="J1164" s="21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1"/>
      <c r="B1165" s="21"/>
      <c r="C1165" s="21"/>
      <c r="D1165" s="21"/>
      <c r="E1165" s="21"/>
      <c r="F1165" s="21"/>
      <c r="G1165" s="21"/>
      <c r="H1165" s="21"/>
      <c r="I1165" s="21"/>
      <c r="J1165" s="21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1"/>
      <c r="B1166" s="21"/>
      <c r="C1166" s="21"/>
      <c r="D1166" s="21"/>
      <c r="E1166" s="21"/>
      <c r="F1166" s="21"/>
      <c r="G1166" s="21"/>
      <c r="H1166" s="21"/>
      <c r="I1166" s="21"/>
      <c r="J1166" s="21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1"/>
      <c r="B1167" s="21"/>
      <c r="C1167" s="21"/>
      <c r="D1167" s="21"/>
      <c r="E1167" s="21"/>
      <c r="F1167" s="21"/>
      <c r="G1167" s="21"/>
      <c r="H1167" s="21"/>
      <c r="I1167" s="21"/>
      <c r="J1167" s="21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1"/>
      <c r="B1168" s="21"/>
      <c r="C1168" s="21"/>
      <c r="D1168" s="21"/>
      <c r="E1168" s="21"/>
      <c r="F1168" s="21"/>
      <c r="G1168" s="21"/>
      <c r="H1168" s="21"/>
      <c r="I1168" s="21"/>
      <c r="J1168" s="21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1"/>
      <c r="B1169" s="21"/>
      <c r="C1169" s="21"/>
      <c r="D1169" s="21"/>
      <c r="E1169" s="21"/>
      <c r="F1169" s="21"/>
      <c r="G1169" s="21"/>
      <c r="H1169" s="21"/>
      <c r="I1169" s="21"/>
      <c r="J1169" s="21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1"/>
      <c r="B1170" s="21"/>
      <c r="C1170" s="21"/>
      <c r="D1170" s="21"/>
      <c r="E1170" s="21"/>
      <c r="F1170" s="21"/>
      <c r="G1170" s="21"/>
      <c r="H1170" s="21"/>
      <c r="I1170" s="21"/>
      <c r="J1170" s="21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1"/>
      <c r="B1171" s="21"/>
      <c r="C1171" s="21"/>
      <c r="D1171" s="21"/>
      <c r="E1171" s="21"/>
      <c r="F1171" s="21"/>
      <c r="G1171" s="21"/>
      <c r="H1171" s="21"/>
      <c r="I1171" s="21"/>
      <c r="J1171" s="21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1"/>
      <c r="B1172" s="21"/>
      <c r="C1172" s="21"/>
      <c r="D1172" s="21"/>
      <c r="E1172" s="21"/>
      <c r="F1172" s="21"/>
      <c r="G1172" s="21"/>
      <c r="H1172" s="21"/>
      <c r="I1172" s="21"/>
      <c r="J1172" s="21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1"/>
      <c r="B1173" s="21"/>
      <c r="C1173" s="21"/>
      <c r="D1173" s="21"/>
      <c r="E1173" s="21"/>
      <c r="F1173" s="21"/>
      <c r="G1173" s="21"/>
      <c r="H1173" s="21"/>
      <c r="I1173" s="21"/>
      <c r="J1173" s="21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1"/>
      <c r="B1174" s="21"/>
      <c r="C1174" s="21"/>
      <c r="D1174" s="21"/>
      <c r="E1174" s="21"/>
      <c r="F1174" s="21"/>
      <c r="G1174" s="21"/>
      <c r="H1174" s="21"/>
      <c r="I1174" s="21"/>
      <c r="J1174" s="21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1"/>
      <c r="B1175" s="21"/>
      <c r="C1175" s="21"/>
      <c r="D1175" s="21"/>
      <c r="E1175" s="21"/>
      <c r="F1175" s="21"/>
      <c r="G1175" s="21"/>
      <c r="H1175" s="21"/>
      <c r="I1175" s="21"/>
      <c r="J1175" s="21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1"/>
      <c r="B1176" s="21"/>
      <c r="C1176" s="21"/>
      <c r="D1176" s="21"/>
      <c r="E1176" s="21"/>
      <c r="F1176" s="21"/>
      <c r="G1176" s="21"/>
      <c r="H1176" s="21"/>
      <c r="I1176" s="21"/>
      <c r="J1176" s="21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1"/>
      <c r="B1177" s="21"/>
      <c r="C1177" s="21"/>
      <c r="D1177" s="21"/>
      <c r="E1177" s="21"/>
      <c r="F1177" s="21"/>
      <c r="G1177" s="21"/>
      <c r="H1177" s="21"/>
      <c r="I1177" s="21"/>
      <c r="J1177" s="21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1"/>
      <c r="B1178" s="21"/>
      <c r="C1178" s="21"/>
      <c r="D1178" s="21"/>
      <c r="E1178" s="21"/>
      <c r="F1178" s="21"/>
      <c r="G1178" s="21"/>
      <c r="H1178" s="21"/>
      <c r="I1178" s="21"/>
      <c r="J1178" s="21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1"/>
      <c r="B1179" s="21"/>
      <c r="C1179" s="21"/>
      <c r="D1179" s="21"/>
      <c r="E1179" s="21"/>
      <c r="F1179" s="21"/>
      <c r="G1179" s="21"/>
      <c r="H1179" s="21"/>
      <c r="I1179" s="21"/>
      <c r="J1179" s="21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1"/>
      <c r="B1180" s="21"/>
      <c r="C1180" s="21"/>
      <c r="D1180" s="21"/>
      <c r="E1180" s="21"/>
      <c r="F1180" s="21"/>
      <c r="G1180" s="21"/>
      <c r="H1180" s="21"/>
      <c r="I1180" s="21"/>
      <c r="J1180" s="21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1"/>
      <c r="B1181" s="21"/>
      <c r="C1181" s="21"/>
      <c r="D1181" s="21"/>
      <c r="E1181" s="21"/>
      <c r="F1181" s="21"/>
      <c r="G1181" s="21"/>
      <c r="H1181" s="21"/>
      <c r="I1181" s="21"/>
      <c r="J1181" s="21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1"/>
      <c r="B1182" s="21"/>
      <c r="C1182" s="21"/>
      <c r="D1182" s="21"/>
      <c r="E1182" s="21"/>
      <c r="F1182" s="21"/>
      <c r="G1182" s="21"/>
      <c r="H1182" s="21"/>
      <c r="I1182" s="21"/>
      <c r="J1182" s="21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1"/>
      <c r="B1183" s="21"/>
      <c r="C1183" s="21"/>
      <c r="D1183" s="21"/>
      <c r="E1183" s="21"/>
      <c r="F1183" s="21"/>
      <c r="G1183" s="21"/>
      <c r="H1183" s="21"/>
      <c r="I1183" s="21"/>
      <c r="J1183" s="21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1"/>
      <c r="B1184" s="21"/>
      <c r="C1184" s="21"/>
      <c r="D1184" s="21"/>
      <c r="E1184" s="21"/>
      <c r="F1184" s="21"/>
      <c r="G1184" s="21"/>
      <c r="H1184" s="21"/>
      <c r="I1184" s="21"/>
      <c r="J1184" s="21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1"/>
      <c r="B1185" s="21"/>
      <c r="C1185" s="21"/>
      <c r="D1185" s="21"/>
      <c r="E1185" s="21"/>
      <c r="F1185" s="21"/>
      <c r="G1185" s="21"/>
      <c r="H1185" s="21"/>
      <c r="I1185" s="21"/>
      <c r="J1185" s="21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1"/>
      <c r="B1186" s="21"/>
      <c r="C1186" s="21"/>
      <c r="D1186" s="21"/>
      <c r="E1186" s="21"/>
      <c r="F1186" s="21"/>
      <c r="G1186" s="21"/>
      <c r="H1186" s="21"/>
      <c r="I1186" s="21"/>
      <c r="J1186" s="21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1"/>
      <c r="B1187" s="21"/>
      <c r="C1187" s="21"/>
      <c r="D1187" s="21"/>
      <c r="E1187" s="21"/>
      <c r="F1187" s="21"/>
      <c r="G1187" s="21"/>
      <c r="H1187" s="21"/>
      <c r="I1187" s="21"/>
      <c r="J1187" s="21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1"/>
      <c r="B1188" s="21"/>
      <c r="C1188" s="21"/>
      <c r="D1188" s="21"/>
      <c r="E1188" s="21"/>
      <c r="F1188" s="21"/>
      <c r="G1188" s="21"/>
      <c r="H1188" s="21"/>
      <c r="I1188" s="21"/>
      <c r="J1188" s="21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1"/>
      <c r="B1189" s="21"/>
      <c r="C1189" s="21"/>
      <c r="D1189" s="21"/>
      <c r="E1189" s="21"/>
      <c r="F1189" s="21"/>
      <c r="G1189" s="21"/>
      <c r="H1189" s="21"/>
      <c r="I1189" s="21"/>
      <c r="J1189" s="21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1"/>
      <c r="B1190" s="21"/>
      <c r="C1190" s="21"/>
      <c r="D1190" s="21"/>
      <c r="E1190" s="21"/>
      <c r="F1190" s="21"/>
      <c r="G1190" s="21"/>
      <c r="H1190" s="21"/>
      <c r="I1190" s="21"/>
      <c r="J1190" s="21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1"/>
      <c r="B1191" s="21"/>
      <c r="C1191" s="21"/>
      <c r="D1191" s="21"/>
      <c r="E1191" s="21"/>
      <c r="F1191" s="21"/>
      <c r="G1191" s="21"/>
      <c r="H1191" s="21"/>
      <c r="I1191" s="21"/>
      <c r="J1191" s="21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1"/>
      <c r="B1192" s="21"/>
      <c r="C1192" s="21"/>
      <c r="D1192" s="21"/>
      <c r="E1192" s="21"/>
      <c r="F1192" s="21"/>
      <c r="G1192" s="21"/>
      <c r="H1192" s="21"/>
      <c r="I1192" s="21"/>
      <c r="J1192" s="21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1"/>
      <c r="B1193" s="21"/>
      <c r="C1193" s="21"/>
      <c r="D1193" s="21"/>
      <c r="E1193" s="21"/>
      <c r="F1193" s="21"/>
      <c r="G1193" s="21"/>
      <c r="H1193" s="21"/>
      <c r="I1193" s="21"/>
      <c r="J1193" s="21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1"/>
      <c r="B1194" s="21"/>
      <c r="C1194" s="21"/>
      <c r="D1194" s="21"/>
      <c r="E1194" s="21"/>
      <c r="F1194" s="21"/>
      <c r="G1194" s="21"/>
      <c r="H1194" s="21"/>
      <c r="I1194" s="21"/>
      <c r="J1194" s="21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1"/>
      <c r="B1195" s="21"/>
      <c r="C1195" s="21"/>
      <c r="D1195" s="21"/>
      <c r="E1195" s="21"/>
      <c r="F1195" s="21"/>
      <c r="G1195" s="21"/>
      <c r="H1195" s="21"/>
      <c r="I1195" s="21"/>
      <c r="J1195" s="21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1"/>
      <c r="B1196" s="21"/>
      <c r="C1196" s="21"/>
      <c r="D1196" s="21"/>
      <c r="E1196" s="21"/>
      <c r="F1196" s="21"/>
      <c r="G1196" s="21"/>
      <c r="H1196" s="21"/>
      <c r="I1196" s="21"/>
      <c r="J1196" s="21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1"/>
      <c r="B1197" s="21"/>
      <c r="C1197" s="21"/>
      <c r="D1197" s="21"/>
      <c r="E1197" s="21"/>
      <c r="F1197" s="21"/>
      <c r="G1197" s="21"/>
      <c r="H1197" s="21"/>
      <c r="I1197" s="21"/>
      <c r="J1197" s="21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1"/>
      <c r="B1198" s="21"/>
      <c r="C1198" s="21"/>
      <c r="D1198" s="21"/>
      <c r="E1198" s="21"/>
      <c r="F1198" s="21"/>
      <c r="G1198" s="21"/>
      <c r="H1198" s="21"/>
      <c r="I1198" s="21"/>
      <c r="J1198" s="21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1"/>
      <c r="B1199" s="21"/>
      <c r="C1199" s="21"/>
      <c r="D1199" s="21"/>
      <c r="E1199" s="21"/>
      <c r="F1199" s="21"/>
      <c r="G1199" s="21"/>
      <c r="H1199" s="21"/>
      <c r="I1199" s="21"/>
      <c r="J1199" s="21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1"/>
      <c r="B1200" s="21"/>
      <c r="C1200" s="21"/>
      <c r="D1200" s="21"/>
      <c r="E1200" s="21"/>
      <c r="F1200" s="21"/>
      <c r="G1200" s="21"/>
      <c r="H1200" s="21"/>
      <c r="I1200" s="21"/>
      <c r="J1200" s="21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1"/>
      <c r="B1201" s="21"/>
      <c r="C1201" s="21"/>
      <c r="D1201" s="21"/>
      <c r="E1201" s="21"/>
      <c r="F1201" s="21"/>
      <c r="G1201" s="21"/>
      <c r="H1201" s="21"/>
      <c r="I1201" s="21"/>
      <c r="J1201" s="21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1"/>
      <c r="B1202" s="21"/>
      <c r="C1202" s="21"/>
      <c r="D1202" s="21"/>
      <c r="E1202" s="21"/>
      <c r="F1202" s="21"/>
      <c r="G1202" s="21"/>
      <c r="H1202" s="21"/>
      <c r="I1202" s="21"/>
      <c r="J1202" s="21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1"/>
      <c r="B1203" s="21"/>
      <c r="C1203" s="21"/>
      <c r="D1203" s="21"/>
      <c r="E1203" s="21"/>
      <c r="F1203" s="21"/>
      <c r="G1203" s="21"/>
      <c r="H1203" s="21"/>
      <c r="I1203" s="21"/>
      <c r="J1203" s="21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1"/>
      <c r="B1204" s="21"/>
      <c r="C1204" s="21"/>
      <c r="D1204" s="21"/>
      <c r="E1204" s="21"/>
      <c r="F1204" s="21"/>
      <c r="G1204" s="21"/>
      <c r="H1204" s="21"/>
      <c r="I1204" s="21"/>
      <c r="J1204" s="21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1"/>
      <c r="B1205" s="21"/>
      <c r="C1205" s="21"/>
      <c r="D1205" s="21"/>
      <c r="E1205" s="21"/>
      <c r="F1205" s="21"/>
      <c r="G1205" s="21"/>
      <c r="H1205" s="21"/>
      <c r="I1205" s="21"/>
      <c r="J1205" s="21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1"/>
      <c r="B1206" s="21"/>
      <c r="C1206" s="21"/>
      <c r="D1206" s="21"/>
      <c r="E1206" s="21"/>
      <c r="F1206" s="21"/>
      <c r="G1206" s="21"/>
      <c r="H1206" s="21"/>
      <c r="I1206" s="21"/>
      <c r="J1206" s="21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1"/>
      <c r="B1207" s="21"/>
      <c r="C1207" s="21"/>
      <c r="D1207" s="21"/>
      <c r="E1207" s="21"/>
      <c r="F1207" s="21"/>
      <c r="G1207" s="21"/>
      <c r="H1207" s="21"/>
      <c r="I1207" s="21"/>
      <c r="J1207" s="21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1"/>
      <c r="B1208" s="21"/>
      <c r="C1208" s="21"/>
      <c r="D1208" s="21"/>
      <c r="E1208" s="21"/>
      <c r="F1208" s="21"/>
      <c r="G1208" s="21"/>
      <c r="H1208" s="21"/>
      <c r="I1208" s="21"/>
      <c r="J1208" s="21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1"/>
      <c r="B1209" s="21"/>
      <c r="C1209" s="21"/>
      <c r="D1209" s="21"/>
      <c r="E1209" s="21"/>
      <c r="F1209" s="21"/>
      <c r="G1209" s="21"/>
      <c r="H1209" s="21"/>
      <c r="I1209" s="21"/>
      <c r="J1209" s="21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1"/>
      <c r="B1210" s="21"/>
      <c r="C1210" s="21"/>
      <c r="D1210" s="21"/>
      <c r="E1210" s="21"/>
      <c r="F1210" s="21"/>
      <c r="G1210" s="21"/>
      <c r="H1210" s="21"/>
      <c r="I1210" s="21"/>
      <c r="J1210" s="21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1"/>
      <c r="B1211" s="21"/>
      <c r="C1211" s="21"/>
      <c r="D1211" s="21"/>
      <c r="E1211" s="21"/>
      <c r="F1211" s="21"/>
      <c r="G1211" s="21"/>
      <c r="H1211" s="21"/>
      <c r="I1211" s="21"/>
      <c r="J1211" s="21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1"/>
      <c r="B1212" s="21"/>
      <c r="C1212" s="21"/>
      <c r="D1212" s="21"/>
      <c r="E1212" s="21"/>
      <c r="F1212" s="21"/>
      <c r="G1212" s="21"/>
      <c r="H1212" s="21"/>
      <c r="I1212" s="21"/>
      <c r="J1212" s="21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1"/>
      <c r="B1213" s="21"/>
      <c r="C1213" s="21"/>
      <c r="D1213" s="21"/>
      <c r="E1213" s="21"/>
      <c r="F1213" s="21"/>
      <c r="G1213" s="21"/>
      <c r="H1213" s="21"/>
      <c r="I1213" s="21"/>
      <c r="J1213" s="21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1"/>
      <c r="B1214" s="21"/>
      <c r="C1214" s="21"/>
      <c r="D1214" s="21"/>
      <c r="E1214" s="21"/>
      <c r="F1214" s="21"/>
      <c r="G1214" s="21"/>
      <c r="H1214" s="21"/>
      <c r="I1214" s="21"/>
      <c r="J1214" s="21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1"/>
      <c r="B1215" s="21"/>
      <c r="C1215" s="21"/>
      <c r="D1215" s="21"/>
      <c r="E1215" s="21"/>
      <c r="F1215" s="21"/>
      <c r="G1215" s="21"/>
      <c r="H1215" s="21"/>
      <c r="I1215" s="21"/>
      <c r="J1215" s="21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1"/>
      <c r="B1216" s="21"/>
      <c r="C1216" s="21"/>
      <c r="D1216" s="21"/>
      <c r="E1216" s="21"/>
      <c r="F1216" s="21"/>
      <c r="G1216" s="21"/>
      <c r="H1216" s="21"/>
      <c r="I1216" s="21"/>
      <c r="J1216" s="21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1"/>
      <c r="B1217" s="21"/>
      <c r="C1217" s="21"/>
      <c r="D1217" s="21"/>
      <c r="E1217" s="21"/>
      <c r="F1217" s="21"/>
      <c r="G1217" s="21"/>
      <c r="H1217" s="21"/>
      <c r="I1217" s="21"/>
      <c r="J1217" s="21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1"/>
      <c r="B1218" s="21"/>
      <c r="C1218" s="21"/>
      <c r="D1218" s="21"/>
      <c r="E1218" s="21"/>
      <c r="F1218" s="21"/>
      <c r="G1218" s="21"/>
      <c r="H1218" s="21"/>
      <c r="I1218" s="21"/>
      <c r="J1218" s="21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1"/>
      <c r="B1219" s="21"/>
      <c r="C1219" s="21"/>
      <c r="D1219" s="21"/>
      <c r="E1219" s="21"/>
      <c r="F1219" s="21"/>
      <c r="G1219" s="21"/>
      <c r="H1219" s="21"/>
      <c r="I1219" s="21"/>
      <c r="J1219" s="21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1"/>
      <c r="B1220" s="21"/>
      <c r="C1220" s="21"/>
      <c r="D1220" s="21"/>
      <c r="E1220" s="21"/>
      <c r="F1220" s="21"/>
      <c r="G1220" s="21"/>
      <c r="H1220" s="21"/>
      <c r="I1220" s="21"/>
      <c r="J1220" s="21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1"/>
      <c r="B1222" s="21"/>
      <c r="C1222" s="21"/>
      <c r="D1222" s="21"/>
      <c r="E1222" s="21"/>
      <c r="F1222" s="21"/>
      <c r="G1222" s="21"/>
      <c r="H1222" s="21"/>
      <c r="I1222" s="21"/>
      <c r="J1222" s="21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1"/>
      <c r="B1223" s="21"/>
      <c r="C1223" s="21"/>
      <c r="D1223" s="21"/>
      <c r="E1223" s="21"/>
      <c r="F1223" s="21"/>
      <c r="G1223" s="21"/>
      <c r="H1223" s="21"/>
      <c r="I1223" s="21"/>
      <c r="J1223" s="21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1"/>
      <c r="B1224" s="21"/>
      <c r="C1224" s="21"/>
      <c r="D1224" s="21"/>
      <c r="E1224" s="21"/>
      <c r="F1224" s="21"/>
      <c r="G1224" s="21"/>
      <c r="H1224" s="21"/>
      <c r="I1224" s="21"/>
      <c r="J1224" s="21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1"/>
      <c r="B1225" s="21"/>
      <c r="C1225" s="21"/>
      <c r="D1225" s="21"/>
      <c r="E1225" s="21"/>
      <c r="F1225" s="21"/>
      <c r="G1225" s="21"/>
      <c r="H1225" s="21"/>
      <c r="I1225" s="21"/>
      <c r="J1225" s="21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1"/>
      <c r="B1226" s="21"/>
      <c r="C1226" s="21"/>
      <c r="D1226" s="21"/>
      <c r="E1226" s="21"/>
      <c r="F1226" s="21"/>
      <c r="G1226" s="21"/>
      <c r="H1226" s="21"/>
      <c r="I1226" s="21"/>
      <c r="J1226" s="21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1"/>
      <c r="B1227" s="21"/>
      <c r="C1227" s="21"/>
      <c r="D1227" s="21"/>
      <c r="E1227" s="21"/>
      <c r="F1227" s="21"/>
      <c r="G1227" s="21"/>
      <c r="H1227" s="21"/>
      <c r="I1227" s="21"/>
      <c r="J1227" s="21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1"/>
      <c r="B1228" s="21"/>
      <c r="C1228" s="21"/>
      <c r="D1228" s="21"/>
      <c r="E1228" s="21"/>
      <c r="F1228" s="21"/>
      <c r="G1228" s="21"/>
      <c r="H1228" s="21"/>
      <c r="I1228" s="21"/>
      <c r="J1228" s="21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1"/>
      <c r="B1229" s="21"/>
      <c r="C1229" s="21"/>
      <c r="D1229" s="21"/>
      <c r="E1229" s="21"/>
      <c r="F1229" s="21"/>
      <c r="G1229" s="21"/>
      <c r="H1229" s="21"/>
      <c r="I1229" s="21"/>
      <c r="J1229" s="21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1"/>
      <c r="B1230" s="21"/>
      <c r="C1230" s="21"/>
      <c r="D1230" s="21"/>
      <c r="E1230" s="21"/>
      <c r="F1230" s="21"/>
      <c r="G1230" s="21"/>
      <c r="H1230" s="21"/>
      <c r="I1230" s="21"/>
      <c r="J1230" s="21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1"/>
      <c r="B1231" s="21"/>
      <c r="C1231" s="21"/>
      <c r="D1231" s="21"/>
      <c r="E1231" s="21"/>
      <c r="F1231" s="21"/>
      <c r="G1231" s="21"/>
      <c r="H1231" s="21"/>
      <c r="I1231" s="21"/>
      <c r="J1231" s="21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1"/>
      <c r="B1232" s="21"/>
      <c r="C1232" s="21"/>
      <c r="D1232" s="21"/>
      <c r="E1232" s="21"/>
      <c r="F1232" s="21"/>
      <c r="G1232" s="21"/>
      <c r="H1232" s="21"/>
      <c r="I1232" s="21"/>
      <c r="J1232" s="21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1"/>
      <c r="B1233" s="21"/>
      <c r="C1233" s="21"/>
      <c r="D1233" s="21"/>
      <c r="E1233" s="21"/>
      <c r="F1233" s="21"/>
      <c r="G1233" s="21"/>
      <c r="H1233" s="21"/>
      <c r="I1233" s="21"/>
      <c r="J1233" s="21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1"/>
      <c r="B1234" s="21"/>
      <c r="C1234" s="21"/>
      <c r="D1234" s="21"/>
      <c r="E1234" s="21"/>
      <c r="F1234" s="21"/>
      <c r="G1234" s="21"/>
      <c r="H1234" s="21"/>
      <c r="I1234" s="21"/>
      <c r="J1234" s="21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1"/>
      <c r="B1235" s="21"/>
      <c r="C1235" s="21"/>
      <c r="D1235" s="21"/>
      <c r="E1235" s="21"/>
      <c r="F1235" s="21"/>
      <c r="G1235" s="21"/>
      <c r="H1235" s="21"/>
      <c r="I1235" s="21"/>
      <c r="J1235" s="21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1"/>
      <c r="B1236" s="21"/>
      <c r="C1236" s="21"/>
      <c r="D1236" s="21"/>
      <c r="E1236" s="21"/>
      <c r="F1236" s="21"/>
      <c r="G1236" s="21"/>
      <c r="H1236" s="21"/>
      <c r="I1236" s="21"/>
      <c r="J1236" s="21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1"/>
      <c r="B1237" s="21"/>
      <c r="C1237" s="21"/>
      <c r="D1237" s="21"/>
      <c r="E1237" s="21"/>
      <c r="F1237" s="21"/>
      <c r="G1237" s="21"/>
      <c r="H1237" s="21"/>
      <c r="I1237" s="21"/>
      <c r="J1237" s="21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1"/>
      <c r="B1238" s="21"/>
      <c r="C1238" s="21"/>
      <c r="D1238" s="21"/>
      <c r="E1238" s="21"/>
      <c r="F1238" s="21"/>
      <c r="G1238" s="21"/>
      <c r="H1238" s="21"/>
      <c r="I1238" s="21"/>
      <c r="J1238" s="21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1"/>
      <c r="B1239" s="21"/>
      <c r="C1239" s="21"/>
      <c r="D1239" s="21"/>
      <c r="E1239" s="21"/>
      <c r="F1239" s="21"/>
      <c r="G1239" s="21"/>
      <c r="H1239" s="21"/>
      <c r="I1239" s="21"/>
      <c r="J1239" s="21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1"/>
      <c r="B1240" s="21"/>
      <c r="C1240" s="21"/>
      <c r="D1240" s="21"/>
      <c r="E1240" s="21"/>
      <c r="F1240" s="21"/>
      <c r="G1240" s="21"/>
      <c r="H1240" s="21"/>
      <c r="I1240" s="21"/>
      <c r="J1240" s="21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1"/>
      <c r="B1241" s="21"/>
      <c r="C1241" s="21"/>
      <c r="D1241" s="21"/>
      <c r="E1241" s="21"/>
      <c r="F1241" s="21"/>
      <c r="G1241" s="21"/>
      <c r="H1241" s="21"/>
      <c r="I1241" s="21"/>
      <c r="J1241" s="21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1"/>
      <c r="B1242" s="21"/>
      <c r="C1242" s="21"/>
      <c r="D1242" s="21"/>
      <c r="E1242" s="21"/>
      <c r="F1242" s="21"/>
      <c r="G1242" s="21"/>
      <c r="H1242" s="21"/>
      <c r="I1242" s="21"/>
      <c r="J1242" s="21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1"/>
      <c r="B1243" s="21"/>
      <c r="C1243" s="21"/>
      <c r="D1243" s="21"/>
      <c r="E1243" s="21"/>
      <c r="F1243" s="21"/>
      <c r="G1243" s="21"/>
      <c r="H1243" s="21"/>
      <c r="I1243" s="21"/>
      <c r="J1243" s="21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1"/>
      <c r="B1244" s="21"/>
      <c r="C1244" s="21"/>
      <c r="D1244" s="21"/>
      <c r="E1244" s="21"/>
      <c r="F1244" s="21"/>
      <c r="G1244" s="21"/>
      <c r="H1244" s="21"/>
      <c r="I1244" s="21"/>
      <c r="J1244" s="21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1"/>
      <c r="B1245" s="21"/>
      <c r="C1245" s="21"/>
      <c r="D1245" s="21"/>
      <c r="E1245" s="21"/>
      <c r="F1245" s="21"/>
      <c r="G1245" s="21"/>
      <c r="H1245" s="21"/>
      <c r="I1245" s="21"/>
      <c r="J1245" s="21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1"/>
      <c r="B1246" s="21"/>
      <c r="C1246" s="21"/>
      <c r="D1246" s="21"/>
      <c r="E1246" s="21"/>
      <c r="F1246" s="21"/>
      <c r="G1246" s="21"/>
      <c r="H1246" s="21"/>
      <c r="I1246" s="21"/>
      <c r="J1246" s="21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1"/>
      <c r="B1247" s="21"/>
      <c r="C1247" s="21"/>
      <c r="D1247" s="21"/>
      <c r="E1247" s="21"/>
      <c r="F1247" s="21"/>
      <c r="G1247" s="21"/>
      <c r="H1247" s="21"/>
      <c r="I1247" s="21"/>
      <c r="J1247" s="21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1"/>
      <c r="B1248" s="21"/>
      <c r="C1248" s="21"/>
      <c r="D1248" s="21"/>
      <c r="E1248" s="21"/>
      <c r="F1248" s="21"/>
      <c r="G1248" s="21"/>
      <c r="H1248" s="21"/>
      <c r="I1248" s="21"/>
      <c r="J1248" s="21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1"/>
      <c r="B1249" s="21"/>
      <c r="C1249" s="21"/>
      <c r="D1249" s="21"/>
      <c r="E1249" s="21"/>
      <c r="F1249" s="21"/>
      <c r="G1249" s="21"/>
      <c r="H1249" s="21"/>
      <c r="I1249" s="21"/>
      <c r="J1249" s="21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1"/>
      <c r="B1250" s="21"/>
      <c r="C1250" s="21"/>
      <c r="D1250" s="21"/>
      <c r="E1250" s="21"/>
      <c r="F1250" s="21"/>
      <c r="G1250" s="21"/>
      <c r="H1250" s="21"/>
      <c r="I1250" s="21"/>
      <c r="J1250" s="21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1"/>
      <c r="B1251" s="21"/>
      <c r="C1251" s="21"/>
      <c r="D1251" s="21"/>
      <c r="E1251" s="21"/>
      <c r="F1251" s="21"/>
      <c r="G1251" s="21"/>
      <c r="H1251" s="21"/>
      <c r="I1251" s="21"/>
      <c r="J1251" s="21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1"/>
      <c r="B1252" s="21"/>
      <c r="C1252" s="21"/>
      <c r="D1252" s="21"/>
      <c r="E1252" s="21"/>
      <c r="F1252" s="21"/>
      <c r="G1252" s="21"/>
      <c r="H1252" s="21"/>
      <c r="I1252" s="21"/>
      <c r="J1252" s="21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1"/>
      <c r="B1253" s="21"/>
      <c r="C1253" s="21"/>
      <c r="D1253" s="21"/>
      <c r="E1253" s="21"/>
      <c r="F1253" s="21"/>
      <c r="G1253" s="21"/>
      <c r="H1253" s="21"/>
      <c r="I1253" s="21"/>
      <c r="J1253" s="21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1"/>
      <c r="B1254" s="21"/>
      <c r="C1254" s="21"/>
      <c r="D1254" s="21"/>
      <c r="E1254" s="21"/>
      <c r="F1254" s="21"/>
      <c r="G1254" s="21"/>
      <c r="H1254" s="21"/>
      <c r="I1254" s="21"/>
      <c r="J1254" s="21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1"/>
      <c r="B1255" s="21"/>
      <c r="C1255" s="21"/>
      <c r="D1255" s="21"/>
      <c r="E1255" s="21"/>
      <c r="F1255" s="21"/>
      <c r="G1255" s="21"/>
      <c r="H1255" s="21"/>
      <c r="I1255" s="21"/>
      <c r="J1255" s="21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1"/>
      <c r="B1256" s="21"/>
      <c r="C1256" s="21"/>
      <c r="D1256" s="21"/>
      <c r="E1256" s="21"/>
      <c r="F1256" s="21"/>
      <c r="G1256" s="21"/>
      <c r="H1256" s="21"/>
      <c r="I1256" s="21"/>
      <c r="J1256" s="21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1"/>
      <c r="B1257" s="21"/>
      <c r="C1257" s="21"/>
      <c r="D1257" s="21"/>
      <c r="E1257" s="21"/>
      <c r="F1257" s="21"/>
      <c r="G1257" s="21"/>
      <c r="H1257" s="21"/>
      <c r="I1257" s="21"/>
      <c r="J1257" s="21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1"/>
      <c r="B1258" s="21"/>
      <c r="C1258" s="21"/>
      <c r="D1258" s="21"/>
      <c r="E1258" s="21"/>
      <c r="F1258" s="21"/>
      <c r="G1258" s="21"/>
      <c r="H1258" s="21"/>
      <c r="I1258" s="21"/>
      <c r="J1258" s="21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1"/>
      <c r="B1259" s="21"/>
      <c r="C1259" s="21"/>
      <c r="D1259" s="21"/>
      <c r="E1259" s="21"/>
      <c r="F1259" s="21"/>
      <c r="G1259" s="21"/>
      <c r="H1259" s="21"/>
      <c r="I1259" s="21"/>
      <c r="J1259" s="21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1"/>
      <c r="B1260" s="21"/>
      <c r="C1260" s="21"/>
      <c r="D1260" s="21"/>
      <c r="E1260" s="21"/>
      <c r="F1260" s="21"/>
      <c r="G1260" s="21"/>
      <c r="H1260" s="21"/>
      <c r="I1260" s="21"/>
      <c r="J1260" s="21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1"/>
      <c r="B1261" s="21"/>
      <c r="C1261" s="21"/>
      <c r="D1261" s="21"/>
      <c r="E1261" s="21"/>
      <c r="F1261" s="21"/>
      <c r="G1261" s="21"/>
      <c r="H1261" s="21"/>
      <c r="I1261" s="21"/>
      <c r="J1261" s="21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1"/>
      <c r="B1262" s="21"/>
      <c r="C1262" s="21"/>
      <c r="D1262" s="21"/>
      <c r="E1262" s="21"/>
      <c r="F1262" s="21"/>
      <c r="G1262" s="21"/>
      <c r="H1262" s="21"/>
      <c r="I1262" s="21"/>
      <c r="J1262" s="21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1"/>
      <c r="B1263" s="21"/>
      <c r="C1263" s="21"/>
      <c r="D1263" s="21"/>
      <c r="E1263" s="21"/>
      <c r="F1263" s="21"/>
      <c r="G1263" s="21"/>
      <c r="H1263" s="21"/>
      <c r="I1263" s="21"/>
      <c r="J1263" s="21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1"/>
      <c r="B1264" s="21"/>
      <c r="C1264" s="21"/>
      <c r="D1264" s="21"/>
      <c r="E1264" s="21"/>
      <c r="F1264" s="21"/>
      <c r="G1264" s="21"/>
      <c r="H1264" s="21"/>
      <c r="I1264" s="21"/>
      <c r="J1264" s="21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1"/>
      <c r="B1265" s="21"/>
      <c r="C1265" s="21"/>
      <c r="D1265" s="21"/>
      <c r="E1265" s="21"/>
      <c r="F1265" s="21"/>
      <c r="G1265" s="21"/>
      <c r="H1265" s="21"/>
      <c r="I1265" s="21"/>
      <c r="J1265" s="21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1"/>
      <c r="B1266" s="21"/>
      <c r="C1266" s="21"/>
      <c r="D1266" s="21"/>
      <c r="E1266" s="21"/>
      <c r="F1266" s="21"/>
      <c r="G1266" s="21"/>
      <c r="H1266" s="21"/>
      <c r="I1266" s="21"/>
      <c r="J1266" s="21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1"/>
      <c r="B1267" s="21"/>
      <c r="C1267" s="21"/>
      <c r="D1267" s="21"/>
      <c r="E1267" s="21"/>
      <c r="F1267" s="21"/>
      <c r="G1267" s="21"/>
      <c r="H1267" s="21"/>
      <c r="I1267" s="21"/>
      <c r="J1267" s="21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1"/>
      <c r="B1268" s="21"/>
      <c r="C1268" s="21"/>
      <c r="D1268" s="21"/>
      <c r="E1268" s="21"/>
      <c r="F1268" s="21"/>
      <c r="G1268" s="21"/>
      <c r="H1268" s="21"/>
      <c r="I1268" s="21"/>
      <c r="J1268" s="21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1"/>
      <c r="B1269" s="21"/>
      <c r="C1269" s="21"/>
      <c r="D1269" s="21"/>
      <c r="E1269" s="21"/>
      <c r="F1269" s="21"/>
      <c r="G1269" s="21"/>
      <c r="H1269" s="21"/>
      <c r="I1269" s="21"/>
      <c r="J1269" s="21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1"/>
      <c r="B1270" s="21"/>
      <c r="C1270" s="21"/>
      <c r="D1270" s="21"/>
      <c r="E1270" s="21"/>
      <c r="F1270" s="21"/>
      <c r="G1270" s="21"/>
      <c r="H1270" s="21"/>
      <c r="I1270" s="21"/>
      <c r="J1270" s="21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1"/>
      <c r="B1271" s="21"/>
      <c r="C1271" s="21"/>
      <c r="D1271" s="21"/>
      <c r="E1271" s="21"/>
      <c r="F1271" s="21"/>
      <c r="G1271" s="21"/>
      <c r="H1271" s="21"/>
      <c r="I1271" s="21"/>
      <c r="J1271" s="21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1"/>
      <c r="B1272" s="21"/>
      <c r="C1272" s="21"/>
      <c r="D1272" s="21"/>
      <c r="E1272" s="21"/>
      <c r="F1272" s="21"/>
      <c r="G1272" s="21"/>
      <c r="H1272" s="21"/>
      <c r="I1272" s="21"/>
      <c r="J1272" s="21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1"/>
      <c r="B1273" s="21"/>
      <c r="C1273" s="21"/>
      <c r="D1273" s="21"/>
      <c r="E1273" s="21"/>
      <c r="F1273" s="21"/>
      <c r="G1273" s="21"/>
      <c r="H1273" s="21"/>
      <c r="I1273" s="21"/>
      <c r="J1273" s="21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1"/>
      <c r="B1274" s="21"/>
      <c r="C1274" s="21"/>
      <c r="D1274" s="21"/>
      <c r="E1274" s="21"/>
      <c r="F1274" s="21"/>
      <c r="G1274" s="21"/>
      <c r="H1274" s="21"/>
      <c r="I1274" s="21"/>
      <c r="J1274" s="21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1"/>
      <c r="B1275" s="21"/>
      <c r="C1275" s="21"/>
      <c r="D1275" s="21"/>
      <c r="E1275" s="21"/>
      <c r="F1275" s="21"/>
      <c r="G1275" s="21"/>
      <c r="H1275" s="21"/>
      <c r="I1275" s="21"/>
      <c r="J1275" s="21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1"/>
      <c r="B1276" s="21"/>
      <c r="C1276" s="21"/>
      <c r="D1276" s="21"/>
      <c r="E1276" s="21"/>
      <c r="F1276" s="21"/>
      <c r="G1276" s="21"/>
      <c r="H1276" s="21"/>
      <c r="I1276" s="21"/>
      <c r="J1276" s="21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1"/>
      <c r="B1277" s="21"/>
      <c r="C1277" s="21"/>
      <c r="D1277" s="21"/>
      <c r="E1277" s="21"/>
      <c r="F1277" s="21"/>
      <c r="G1277" s="21"/>
      <c r="H1277" s="21"/>
      <c r="I1277" s="21"/>
      <c r="J1277" s="21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1"/>
      <c r="B1278" s="21"/>
      <c r="C1278" s="21"/>
      <c r="D1278" s="21"/>
      <c r="E1278" s="21"/>
      <c r="F1278" s="21"/>
      <c r="G1278" s="21"/>
      <c r="H1278" s="21"/>
      <c r="I1278" s="21"/>
      <c r="J1278" s="21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1"/>
      <c r="B1279" s="21"/>
      <c r="C1279" s="21"/>
      <c r="D1279" s="21"/>
      <c r="E1279" s="21"/>
      <c r="F1279" s="21"/>
      <c r="G1279" s="21"/>
      <c r="H1279" s="21"/>
      <c r="I1279" s="21"/>
      <c r="J1279" s="21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1"/>
      <c r="B1280" s="21"/>
      <c r="C1280" s="21"/>
      <c r="D1280" s="21"/>
      <c r="E1280" s="21"/>
      <c r="F1280" s="21"/>
      <c r="G1280" s="21"/>
      <c r="H1280" s="21"/>
      <c r="I1280" s="21"/>
      <c r="J1280" s="21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1"/>
      <c r="B1281" s="21"/>
      <c r="C1281" s="21"/>
      <c r="D1281" s="21"/>
      <c r="E1281" s="21"/>
      <c r="F1281" s="21"/>
      <c r="G1281" s="21"/>
      <c r="H1281" s="21"/>
      <c r="I1281" s="21"/>
      <c r="J1281" s="21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1"/>
      <c r="B1282" s="21"/>
      <c r="C1282" s="21"/>
      <c r="D1282" s="21"/>
      <c r="E1282" s="21"/>
      <c r="F1282" s="21"/>
      <c r="G1282" s="21"/>
      <c r="H1282" s="21"/>
      <c r="I1282" s="21"/>
      <c r="J1282" s="21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1"/>
      <c r="B1283" s="21"/>
      <c r="C1283" s="21"/>
      <c r="D1283" s="21"/>
      <c r="E1283" s="21"/>
      <c r="F1283" s="21"/>
      <c r="G1283" s="21"/>
      <c r="H1283" s="21"/>
      <c r="I1283" s="21"/>
      <c r="J1283" s="21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1"/>
      <c r="B1284" s="21"/>
      <c r="C1284" s="21"/>
      <c r="D1284" s="21"/>
      <c r="E1284" s="21"/>
      <c r="F1284" s="21"/>
      <c r="G1284" s="21"/>
      <c r="H1284" s="21"/>
      <c r="I1284" s="21"/>
      <c r="J1284" s="21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1"/>
      <c r="B1285" s="21"/>
      <c r="C1285" s="21"/>
      <c r="D1285" s="21"/>
      <c r="E1285" s="21"/>
      <c r="F1285" s="21"/>
      <c r="G1285" s="21"/>
      <c r="H1285" s="21"/>
      <c r="I1285" s="21"/>
      <c r="J1285" s="21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1"/>
      <c r="B1286" s="21"/>
      <c r="C1286" s="21"/>
      <c r="D1286" s="21"/>
      <c r="E1286" s="21"/>
      <c r="F1286" s="21"/>
      <c r="G1286" s="21"/>
      <c r="H1286" s="21"/>
      <c r="I1286" s="21"/>
      <c r="J1286" s="21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1"/>
      <c r="B1287" s="21"/>
      <c r="C1287" s="21"/>
      <c r="D1287" s="21"/>
      <c r="E1287" s="21"/>
      <c r="F1287" s="21"/>
      <c r="G1287" s="21"/>
      <c r="H1287" s="21"/>
      <c r="I1287" s="21"/>
      <c r="J1287" s="21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1"/>
      <c r="B1288" s="21"/>
      <c r="C1288" s="21"/>
      <c r="D1288" s="21"/>
      <c r="E1288" s="21"/>
      <c r="F1288" s="21"/>
      <c r="G1288" s="21"/>
      <c r="H1288" s="21"/>
      <c r="I1288" s="21"/>
      <c r="J1288" s="21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1"/>
      <c r="B1290" s="21"/>
      <c r="C1290" s="21"/>
      <c r="D1290" s="21"/>
      <c r="E1290" s="21"/>
      <c r="F1290" s="21"/>
      <c r="G1290" s="21"/>
      <c r="H1290" s="21"/>
      <c r="I1290" s="21"/>
      <c r="J1290" s="21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1"/>
      <c r="B1291" s="21"/>
      <c r="C1291" s="21"/>
      <c r="D1291" s="21"/>
      <c r="E1291" s="21"/>
      <c r="F1291" s="21"/>
      <c r="G1291" s="21"/>
      <c r="H1291" s="21"/>
      <c r="I1291" s="21"/>
      <c r="J1291" s="21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1"/>
      <c r="B1292" s="21"/>
      <c r="C1292" s="21"/>
      <c r="D1292" s="21"/>
      <c r="E1292" s="21"/>
      <c r="F1292" s="21"/>
      <c r="G1292" s="21"/>
      <c r="H1292" s="21"/>
      <c r="I1292" s="21"/>
      <c r="J1292" s="21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1"/>
      <c r="B1293" s="21"/>
      <c r="C1293" s="21"/>
      <c r="D1293" s="21"/>
      <c r="E1293" s="21"/>
      <c r="F1293" s="21"/>
      <c r="G1293" s="21"/>
      <c r="H1293" s="21"/>
      <c r="I1293" s="21"/>
      <c r="J1293" s="21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1"/>
      <c r="B1294" s="21"/>
      <c r="C1294" s="21"/>
      <c r="D1294" s="21"/>
      <c r="E1294" s="21"/>
      <c r="F1294" s="21"/>
      <c r="G1294" s="21"/>
      <c r="H1294" s="21"/>
      <c r="I1294" s="21"/>
      <c r="J1294" s="21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1"/>
      <c r="B1295" s="21"/>
      <c r="C1295" s="21"/>
      <c r="D1295" s="21"/>
      <c r="E1295" s="21"/>
      <c r="F1295" s="21"/>
      <c r="G1295" s="21"/>
      <c r="H1295" s="21"/>
      <c r="I1295" s="21"/>
      <c r="J1295" s="21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1"/>
      <c r="B1296" s="21"/>
      <c r="C1296" s="21"/>
      <c r="D1296" s="21"/>
      <c r="E1296" s="21"/>
      <c r="F1296" s="21"/>
      <c r="G1296" s="21"/>
      <c r="H1296" s="21"/>
      <c r="I1296" s="21"/>
      <c r="J1296" s="21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1"/>
      <c r="B1297" s="21"/>
      <c r="C1297" s="21"/>
      <c r="D1297" s="21"/>
      <c r="E1297" s="21"/>
      <c r="F1297" s="21"/>
      <c r="G1297" s="21"/>
      <c r="H1297" s="21"/>
      <c r="I1297" s="21"/>
      <c r="J1297" s="21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1"/>
      <c r="B1298" s="21"/>
      <c r="C1298" s="21"/>
      <c r="D1298" s="21"/>
      <c r="E1298" s="21"/>
      <c r="F1298" s="21"/>
      <c r="G1298" s="21"/>
      <c r="H1298" s="21"/>
      <c r="I1298" s="21"/>
      <c r="J1298" s="21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1"/>
      <c r="B1299" s="21"/>
      <c r="C1299" s="21"/>
      <c r="D1299" s="21"/>
      <c r="E1299" s="21"/>
      <c r="F1299" s="21"/>
      <c r="G1299" s="21"/>
      <c r="H1299" s="21"/>
      <c r="I1299" s="21"/>
      <c r="J1299" s="21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1"/>
      <c r="B1300" s="21"/>
      <c r="C1300" s="21"/>
      <c r="D1300" s="21"/>
      <c r="E1300" s="21"/>
      <c r="F1300" s="21"/>
      <c r="G1300" s="21"/>
      <c r="H1300" s="21"/>
      <c r="I1300" s="21"/>
      <c r="J1300" s="21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1"/>
      <c r="B1301" s="21"/>
      <c r="C1301" s="21"/>
      <c r="D1301" s="21"/>
      <c r="E1301" s="21"/>
      <c r="F1301" s="21"/>
      <c r="G1301" s="21"/>
      <c r="H1301" s="21"/>
      <c r="I1301" s="21"/>
      <c r="J1301" s="21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1"/>
      <c r="B1302" s="21"/>
      <c r="C1302" s="21"/>
      <c r="D1302" s="21"/>
      <c r="E1302" s="21"/>
      <c r="F1302" s="21"/>
      <c r="G1302" s="21"/>
      <c r="H1302" s="21"/>
      <c r="I1302" s="21"/>
      <c r="J1302" s="21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1"/>
      <c r="B1303" s="21"/>
      <c r="C1303" s="21"/>
      <c r="D1303" s="21"/>
      <c r="E1303" s="21"/>
      <c r="F1303" s="21"/>
      <c r="G1303" s="21"/>
      <c r="H1303" s="21"/>
      <c r="I1303" s="21"/>
      <c r="J1303" s="21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1"/>
      <c r="B1304" s="21"/>
      <c r="C1304" s="21"/>
      <c r="D1304" s="21"/>
      <c r="E1304" s="21"/>
      <c r="F1304" s="21"/>
      <c r="G1304" s="21"/>
      <c r="H1304" s="21"/>
      <c r="I1304" s="21"/>
      <c r="J1304" s="21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1"/>
      <c r="B1305" s="21"/>
      <c r="C1305" s="21"/>
      <c r="D1305" s="21"/>
      <c r="E1305" s="21"/>
      <c r="F1305" s="21"/>
      <c r="G1305" s="21"/>
      <c r="H1305" s="21"/>
      <c r="I1305" s="21"/>
      <c r="J1305" s="21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1"/>
      <c r="B1306" s="21"/>
      <c r="C1306" s="21"/>
      <c r="D1306" s="21"/>
      <c r="E1306" s="21"/>
      <c r="F1306" s="21"/>
      <c r="G1306" s="21"/>
      <c r="H1306" s="21"/>
      <c r="I1306" s="21"/>
      <c r="J1306" s="21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1"/>
      <c r="B1307" s="21"/>
      <c r="C1307" s="21"/>
      <c r="D1307" s="21"/>
      <c r="E1307" s="21"/>
      <c r="F1307" s="21"/>
      <c r="G1307" s="21"/>
      <c r="H1307" s="21"/>
      <c r="I1307" s="21"/>
      <c r="J1307" s="21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1"/>
      <c r="B1308" s="21"/>
      <c r="C1308" s="21"/>
      <c r="D1308" s="21"/>
      <c r="E1308" s="21"/>
      <c r="F1308" s="21"/>
      <c r="G1308" s="21"/>
      <c r="H1308" s="21"/>
      <c r="I1308" s="21"/>
      <c r="J1308" s="21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1"/>
      <c r="B1309" s="21"/>
      <c r="C1309" s="21"/>
      <c r="D1309" s="21"/>
      <c r="E1309" s="21"/>
      <c r="F1309" s="21"/>
      <c r="G1309" s="21"/>
      <c r="H1309" s="21"/>
      <c r="I1309" s="21"/>
      <c r="J1309" s="21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1"/>
      <c r="B1310" s="21"/>
      <c r="C1310" s="21"/>
      <c r="D1310" s="21"/>
      <c r="E1310" s="21"/>
      <c r="F1310" s="21"/>
      <c r="G1310" s="21"/>
      <c r="H1310" s="21"/>
      <c r="I1310" s="21"/>
      <c r="J1310" s="21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1"/>
      <c r="B1311" s="21"/>
      <c r="C1311" s="21"/>
      <c r="D1311" s="21"/>
      <c r="E1311" s="21"/>
      <c r="F1311" s="21"/>
      <c r="G1311" s="21"/>
      <c r="H1311" s="21"/>
      <c r="I1311" s="21"/>
      <c r="J1311" s="21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1"/>
      <c r="B1312" s="21"/>
      <c r="C1312" s="21"/>
      <c r="D1312" s="21"/>
      <c r="E1312" s="21"/>
      <c r="F1312" s="21"/>
      <c r="G1312" s="21"/>
      <c r="H1312" s="21"/>
      <c r="I1312" s="21"/>
      <c r="J1312" s="21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1"/>
      <c r="B1313" s="21"/>
      <c r="C1313" s="21"/>
      <c r="D1313" s="21"/>
      <c r="E1313" s="21"/>
      <c r="F1313" s="21"/>
      <c r="G1313" s="21"/>
      <c r="H1313" s="21"/>
      <c r="I1313" s="21"/>
      <c r="J1313" s="21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1"/>
      <c r="B1314" s="21"/>
      <c r="C1314" s="21"/>
      <c r="D1314" s="21"/>
      <c r="E1314" s="21"/>
      <c r="F1314" s="21"/>
      <c r="G1314" s="21"/>
      <c r="H1314" s="21"/>
      <c r="I1314" s="21"/>
      <c r="J1314" s="21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1"/>
      <c r="B1315" s="21"/>
      <c r="C1315" s="21"/>
      <c r="D1315" s="21"/>
      <c r="E1315" s="21"/>
      <c r="F1315" s="21"/>
      <c r="G1315" s="21"/>
      <c r="H1315" s="21"/>
      <c r="I1315" s="21"/>
      <c r="J1315" s="21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1"/>
      <c r="B1316" s="21"/>
      <c r="C1316" s="21"/>
      <c r="D1316" s="21"/>
      <c r="E1316" s="21"/>
      <c r="F1316" s="21"/>
      <c r="G1316" s="21"/>
      <c r="H1316" s="21"/>
      <c r="I1316" s="21"/>
      <c r="J1316" s="21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1"/>
      <c r="B1317" s="21"/>
      <c r="C1317" s="21"/>
      <c r="D1317" s="21"/>
      <c r="E1317" s="21"/>
      <c r="F1317" s="21"/>
      <c r="G1317" s="21"/>
      <c r="H1317" s="21"/>
      <c r="I1317" s="21"/>
      <c r="J1317" s="21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1"/>
      <c r="B1318" s="21"/>
      <c r="C1318" s="21"/>
      <c r="D1318" s="21"/>
      <c r="E1318" s="21"/>
      <c r="F1318" s="21"/>
      <c r="G1318" s="21"/>
      <c r="H1318" s="21"/>
      <c r="I1318" s="21"/>
      <c r="J1318" s="21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1"/>
      <c r="B1319" s="21"/>
      <c r="C1319" s="21"/>
      <c r="D1319" s="21"/>
      <c r="E1319" s="21"/>
      <c r="F1319" s="21"/>
      <c r="G1319" s="21"/>
      <c r="H1319" s="21"/>
      <c r="I1319" s="21"/>
      <c r="J1319" s="21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1"/>
      <c r="B1320" s="21"/>
      <c r="C1320" s="21"/>
      <c r="D1320" s="21"/>
      <c r="E1320" s="21"/>
      <c r="F1320" s="21"/>
      <c r="G1320" s="21"/>
      <c r="H1320" s="21"/>
      <c r="I1320" s="21"/>
      <c r="J1320" s="21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1"/>
      <c r="B1321" s="21"/>
      <c r="C1321" s="21"/>
      <c r="D1321" s="21"/>
      <c r="E1321" s="21"/>
      <c r="F1321" s="21"/>
      <c r="G1321" s="21"/>
      <c r="H1321" s="21"/>
      <c r="I1321" s="21"/>
      <c r="J1321" s="21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1"/>
      <c r="B1322" s="21"/>
      <c r="C1322" s="21"/>
      <c r="D1322" s="21"/>
      <c r="E1322" s="21"/>
      <c r="F1322" s="21"/>
      <c r="G1322" s="21"/>
      <c r="H1322" s="21"/>
      <c r="I1322" s="21"/>
      <c r="J1322" s="21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1"/>
      <c r="B1323" s="21"/>
      <c r="C1323" s="21"/>
      <c r="D1323" s="21"/>
      <c r="E1323" s="21"/>
      <c r="F1323" s="21"/>
      <c r="G1323" s="21"/>
      <c r="H1323" s="21"/>
      <c r="I1323" s="21"/>
      <c r="J1323" s="21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1"/>
      <c r="B1324" s="21"/>
      <c r="C1324" s="21"/>
      <c r="D1324" s="21"/>
      <c r="E1324" s="21"/>
      <c r="F1324" s="21"/>
      <c r="G1324" s="21"/>
      <c r="H1324" s="21"/>
      <c r="I1324" s="21"/>
      <c r="J1324" s="21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1"/>
      <c r="B1325" s="21"/>
      <c r="C1325" s="21"/>
      <c r="D1325" s="21"/>
      <c r="E1325" s="21"/>
      <c r="F1325" s="21"/>
      <c r="G1325" s="21"/>
      <c r="H1325" s="21"/>
      <c r="I1325" s="21"/>
      <c r="J1325" s="21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1"/>
      <c r="B1326" s="21"/>
      <c r="C1326" s="21"/>
      <c r="D1326" s="21"/>
      <c r="E1326" s="21"/>
      <c r="F1326" s="21"/>
      <c r="G1326" s="21"/>
      <c r="H1326" s="21"/>
      <c r="I1326" s="21"/>
      <c r="J1326" s="21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1"/>
      <c r="B1327" s="21"/>
      <c r="C1327" s="21"/>
      <c r="D1327" s="21"/>
      <c r="E1327" s="21"/>
      <c r="F1327" s="21"/>
      <c r="G1327" s="21"/>
      <c r="H1327" s="21"/>
      <c r="I1327" s="21"/>
      <c r="J1327" s="21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1"/>
      <c r="B1328" s="21"/>
      <c r="C1328" s="21"/>
      <c r="D1328" s="21"/>
      <c r="E1328" s="21"/>
      <c r="F1328" s="21"/>
      <c r="G1328" s="21"/>
      <c r="H1328" s="21"/>
      <c r="I1328" s="21"/>
      <c r="J1328" s="21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1"/>
      <c r="B1329" s="21"/>
      <c r="C1329" s="21"/>
      <c r="D1329" s="21"/>
      <c r="E1329" s="21"/>
      <c r="F1329" s="21"/>
      <c r="G1329" s="21"/>
      <c r="H1329" s="21"/>
      <c r="I1329" s="21"/>
      <c r="J1329" s="21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1"/>
      <c r="B1330" s="21"/>
      <c r="C1330" s="21"/>
      <c r="D1330" s="21"/>
      <c r="E1330" s="21"/>
      <c r="F1330" s="21"/>
      <c r="G1330" s="21"/>
      <c r="H1330" s="21"/>
      <c r="I1330" s="21"/>
      <c r="J1330" s="21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1"/>
      <c r="B1331" s="21"/>
      <c r="C1331" s="21"/>
      <c r="D1331" s="21"/>
      <c r="E1331" s="21"/>
      <c r="F1331" s="21"/>
      <c r="G1331" s="21"/>
      <c r="H1331" s="21"/>
      <c r="I1331" s="21"/>
      <c r="J1331" s="21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1"/>
      <c r="B1332" s="21"/>
      <c r="C1332" s="21"/>
      <c r="D1332" s="21"/>
      <c r="E1332" s="21"/>
      <c r="F1332" s="21"/>
      <c r="G1332" s="21"/>
      <c r="H1332" s="21"/>
      <c r="I1332" s="21"/>
      <c r="J1332" s="21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1"/>
      <c r="B1333" s="21"/>
      <c r="C1333" s="21"/>
      <c r="D1333" s="21"/>
      <c r="E1333" s="21"/>
      <c r="F1333" s="21"/>
      <c r="G1333" s="21"/>
      <c r="H1333" s="21"/>
      <c r="I1333" s="21"/>
      <c r="J1333" s="21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1"/>
      <c r="B1334" s="21"/>
      <c r="C1334" s="21"/>
      <c r="D1334" s="21"/>
      <c r="E1334" s="21"/>
      <c r="F1334" s="21"/>
      <c r="G1334" s="21"/>
      <c r="H1334" s="21"/>
      <c r="I1334" s="21"/>
      <c r="J1334" s="21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1"/>
      <c r="B1335" s="21"/>
      <c r="C1335" s="21"/>
      <c r="D1335" s="21"/>
      <c r="E1335" s="21"/>
      <c r="F1335" s="21"/>
      <c r="G1335" s="21"/>
      <c r="H1335" s="21"/>
      <c r="I1335" s="21"/>
      <c r="J1335" s="21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1"/>
      <c r="B1336" s="21"/>
      <c r="C1336" s="21"/>
      <c r="D1336" s="21"/>
      <c r="E1336" s="21"/>
      <c r="F1336" s="21"/>
      <c r="G1336" s="21"/>
      <c r="H1336" s="21"/>
      <c r="I1336" s="21"/>
      <c r="J1336" s="21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1"/>
      <c r="B1337" s="21"/>
      <c r="C1337" s="21"/>
      <c r="D1337" s="21"/>
      <c r="E1337" s="21"/>
      <c r="F1337" s="21"/>
      <c r="G1337" s="21"/>
      <c r="H1337" s="21"/>
      <c r="I1337" s="21"/>
      <c r="J1337" s="21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1"/>
      <c r="B1338" s="21"/>
      <c r="C1338" s="21"/>
      <c r="D1338" s="21"/>
      <c r="E1338" s="21"/>
      <c r="F1338" s="21"/>
      <c r="G1338" s="21"/>
      <c r="H1338" s="21"/>
      <c r="I1338" s="21"/>
      <c r="J1338" s="21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1"/>
      <c r="B1339" s="21"/>
      <c r="C1339" s="21"/>
      <c r="D1339" s="21"/>
      <c r="E1339" s="21"/>
      <c r="F1339" s="21"/>
      <c r="G1339" s="21"/>
      <c r="H1339" s="21"/>
      <c r="I1339" s="21"/>
      <c r="J1339" s="21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1"/>
      <c r="B1340" s="21"/>
      <c r="C1340" s="21"/>
      <c r="D1340" s="21"/>
      <c r="E1340" s="21"/>
      <c r="F1340" s="21"/>
      <c r="G1340" s="21"/>
      <c r="H1340" s="21"/>
      <c r="I1340" s="21"/>
      <c r="J1340" s="21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1"/>
      <c r="B1341" s="21"/>
      <c r="C1341" s="21"/>
      <c r="D1341" s="21"/>
      <c r="E1341" s="21"/>
      <c r="F1341" s="21"/>
      <c r="G1341" s="21"/>
      <c r="H1341" s="21"/>
      <c r="I1341" s="21"/>
      <c r="J1341" s="21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506</v>
      </c>
      <c r="B1" s="2"/>
      <c r="C1" s="2"/>
      <c r="D1" s="2"/>
      <c r="E1" s="2"/>
      <c r="F1" s="2"/>
      <c r="G1" s="2"/>
      <c r="H1" s="2"/>
      <c r="I1" s="2"/>
      <c r="J1" s="2"/>
      <c r="K1" s="9" t="s">
        <v>936</v>
      </c>
      <c r="L1" s="10"/>
      <c r="M1" s="10"/>
      <c r="N1" s="10"/>
      <c r="O1" s="10"/>
      <c r="P1" s="10"/>
      <c r="Q1" s="10"/>
      <c r="R1" s="13"/>
    </row>
    <row r="2" ht="45" spans="1:18">
      <c r="A2" s="3" t="s">
        <v>508</v>
      </c>
      <c r="B2" s="4" t="s">
        <v>509</v>
      </c>
      <c r="C2" s="4" t="s">
        <v>510</v>
      </c>
      <c r="D2" s="4" t="s">
        <v>511</v>
      </c>
      <c r="E2" s="4" t="s">
        <v>512</v>
      </c>
      <c r="F2" s="4" t="s">
        <v>513</v>
      </c>
      <c r="G2" s="4" t="s">
        <v>514</v>
      </c>
      <c r="H2" s="4" t="s">
        <v>515</v>
      </c>
      <c r="I2" s="4" t="s">
        <v>516</v>
      </c>
      <c r="J2" s="4" t="s">
        <v>517</v>
      </c>
      <c r="K2" s="11" t="s">
        <v>518</v>
      </c>
      <c r="L2" s="11" t="s">
        <v>519</v>
      </c>
      <c r="M2" s="11" t="s">
        <v>520</v>
      </c>
      <c r="N2" s="11" t="s">
        <v>521</v>
      </c>
      <c r="O2" s="11" t="s">
        <v>522</v>
      </c>
      <c r="P2" s="11" t="s">
        <v>523</v>
      </c>
      <c r="Q2" s="11" t="s">
        <v>524</v>
      </c>
      <c r="R2" s="11" t="s">
        <v>525</v>
      </c>
    </row>
    <row r="3" ht="20.25" spans="1:18">
      <c r="A3" s="5" t="s">
        <v>937</v>
      </c>
      <c r="B3" s="5" t="s">
        <v>938</v>
      </c>
      <c r="C3" s="5">
        <v>610.437</v>
      </c>
      <c r="D3" s="5">
        <v>691.83</v>
      </c>
      <c r="E3" s="5">
        <v>0</v>
      </c>
      <c r="F3" s="5">
        <v>0</v>
      </c>
      <c r="G3" s="5">
        <v>0</v>
      </c>
      <c r="H3" s="5">
        <v>1</v>
      </c>
      <c r="I3" s="7">
        <v>3.01</v>
      </c>
      <c r="J3" s="7">
        <v>14.421</v>
      </c>
      <c r="K3" s="12">
        <v>4</v>
      </c>
      <c r="L3" s="12">
        <v>2</v>
      </c>
      <c r="M3" s="12">
        <v>0</v>
      </c>
      <c r="N3" s="12">
        <v>1</v>
      </c>
      <c r="O3" s="12">
        <v>0</v>
      </c>
      <c r="P3" s="12">
        <v>-0.177</v>
      </c>
      <c r="Q3" s="12">
        <v>0</v>
      </c>
      <c r="R3" s="12">
        <v>0</v>
      </c>
    </row>
    <row r="4" ht="20.25" spans="1:18">
      <c r="A4" s="6" t="s">
        <v>939</v>
      </c>
      <c r="B4" s="6" t="s">
        <v>940</v>
      </c>
      <c r="C4" s="6">
        <v>3262.246</v>
      </c>
      <c r="D4" s="6">
        <v>4809.062</v>
      </c>
      <c r="E4" s="6">
        <v>0</v>
      </c>
      <c r="F4" s="6">
        <v>0</v>
      </c>
      <c r="G4" s="6">
        <v>1</v>
      </c>
      <c r="H4" s="7">
        <v>0</v>
      </c>
      <c r="I4" s="7">
        <v>0</v>
      </c>
      <c r="J4" s="7">
        <v>0</v>
      </c>
      <c r="K4" s="12">
        <v>0</v>
      </c>
      <c r="L4" s="12">
        <v>2</v>
      </c>
      <c r="M4" s="12">
        <v>0</v>
      </c>
      <c r="N4" s="12">
        <v>0</v>
      </c>
      <c r="O4" s="12">
        <v>0</v>
      </c>
      <c r="P4" s="12">
        <v>9.685</v>
      </c>
      <c r="Q4" s="12">
        <v>0</v>
      </c>
      <c r="R4" s="12">
        <v>0</v>
      </c>
    </row>
    <row r="5" ht="20.25" spans="1:18">
      <c r="A5" s="6" t="s">
        <v>941</v>
      </c>
      <c r="B5" s="6" t="s">
        <v>942</v>
      </c>
      <c r="C5" s="6">
        <v>7889.755</v>
      </c>
      <c r="D5" s="6">
        <v>8740.42</v>
      </c>
      <c r="E5" s="6">
        <v>0</v>
      </c>
      <c r="F5" s="6">
        <v>0</v>
      </c>
      <c r="G5" s="6">
        <v>1</v>
      </c>
      <c r="H5" s="7">
        <v>0</v>
      </c>
      <c r="I5" s="7">
        <v>0</v>
      </c>
      <c r="J5" s="7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23.503</v>
      </c>
      <c r="Q5" s="12">
        <v>0</v>
      </c>
      <c r="R5" s="12">
        <v>0</v>
      </c>
    </row>
    <row r="6" ht="20.25" spans="1:18">
      <c r="A6" s="6" t="s">
        <v>943</v>
      </c>
      <c r="B6" s="6" t="s">
        <v>944</v>
      </c>
      <c r="C6" s="6">
        <v>12755.752</v>
      </c>
      <c r="D6" s="6">
        <v>15192.172</v>
      </c>
      <c r="E6" s="6">
        <v>0</v>
      </c>
      <c r="F6" s="6">
        <v>0</v>
      </c>
      <c r="G6" s="6">
        <v>1</v>
      </c>
      <c r="H6" s="7">
        <v>0</v>
      </c>
      <c r="I6" s="7">
        <v>0</v>
      </c>
      <c r="J6" s="7">
        <v>0</v>
      </c>
      <c r="K6" s="12">
        <v>0</v>
      </c>
      <c r="L6" s="12">
        <v>0</v>
      </c>
      <c r="M6" s="12">
        <v>0</v>
      </c>
      <c r="N6" s="12">
        <v>-1</v>
      </c>
      <c r="O6" s="12">
        <v>0</v>
      </c>
      <c r="P6" s="12">
        <v>68.948</v>
      </c>
      <c r="Q6" s="12">
        <v>0</v>
      </c>
      <c r="R6" s="12">
        <v>0</v>
      </c>
    </row>
    <row r="7" ht="20.25" spans="1:18">
      <c r="A7" s="6" t="s">
        <v>945</v>
      </c>
      <c r="B7" s="6" t="s">
        <v>946</v>
      </c>
      <c r="C7" s="6">
        <v>3383.146</v>
      </c>
      <c r="D7" s="6">
        <v>3868.642</v>
      </c>
      <c r="E7" s="6">
        <v>0</v>
      </c>
      <c r="F7" s="6">
        <v>0</v>
      </c>
      <c r="G7" s="6">
        <v>1</v>
      </c>
      <c r="H7" s="7">
        <v>0</v>
      </c>
      <c r="I7" s="7">
        <v>0</v>
      </c>
      <c r="J7" s="7">
        <v>0</v>
      </c>
      <c r="K7" s="12">
        <v>1</v>
      </c>
      <c r="L7" s="12">
        <v>0</v>
      </c>
      <c r="M7" s="12">
        <v>0</v>
      </c>
      <c r="N7" s="12">
        <v>0</v>
      </c>
      <c r="O7" s="12">
        <v>0</v>
      </c>
      <c r="P7" s="12">
        <v>3.069</v>
      </c>
      <c r="Q7" s="12">
        <v>0</v>
      </c>
      <c r="R7" s="12">
        <v>0</v>
      </c>
    </row>
    <row r="8" ht="20.25" spans="1:18">
      <c r="A8" s="6" t="s">
        <v>947</v>
      </c>
      <c r="B8" s="6" t="s">
        <v>948</v>
      </c>
      <c r="C8" s="6">
        <v>73248.406</v>
      </c>
      <c r="D8" s="6">
        <v>79785.57</v>
      </c>
      <c r="E8" s="6">
        <v>0</v>
      </c>
      <c r="F8" s="6">
        <v>0</v>
      </c>
      <c r="G8" s="6">
        <v>1</v>
      </c>
      <c r="H8" s="7">
        <v>0</v>
      </c>
      <c r="I8" s="7">
        <v>0</v>
      </c>
      <c r="J8" s="7">
        <v>0</v>
      </c>
      <c r="K8" s="12">
        <v>3</v>
      </c>
      <c r="L8" s="12">
        <v>2</v>
      </c>
      <c r="M8" s="12">
        <v>0</v>
      </c>
      <c r="N8" s="12">
        <v>-1</v>
      </c>
      <c r="O8" s="12">
        <v>0</v>
      </c>
      <c r="P8" s="12">
        <v>6.958</v>
      </c>
      <c r="Q8" s="12">
        <v>0</v>
      </c>
      <c r="R8" s="12">
        <v>0</v>
      </c>
    </row>
    <row r="9" ht="20.25" spans="1:18">
      <c r="A9" s="6" t="s">
        <v>949</v>
      </c>
      <c r="B9" s="6" t="s">
        <v>950</v>
      </c>
      <c r="C9" s="6">
        <v>3314.612</v>
      </c>
      <c r="D9" s="6">
        <v>3607.503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2</v>
      </c>
      <c r="M9" s="12">
        <v>0</v>
      </c>
      <c r="N9" s="12">
        <v>-1</v>
      </c>
      <c r="O9" s="12">
        <v>0</v>
      </c>
      <c r="P9" s="12">
        <v>0.367</v>
      </c>
      <c r="Q9" s="12">
        <v>0</v>
      </c>
      <c r="R9" s="12">
        <v>0</v>
      </c>
    </row>
    <row r="10" ht="20.25" spans="1:18">
      <c r="A10" s="6" t="s">
        <v>951</v>
      </c>
      <c r="B10" s="6" t="s">
        <v>952</v>
      </c>
      <c r="C10" s="6">
        <v>120834.086</v>
      </c>
      <c r="D10" s="6">
        <v>132915.578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3</v>
      </c>
      <c r="L10" s="12">
        <v>2</v>
      </c>
      <c r="M10" s="12">
        <v>0</v>
      </c>
      <c r="N10" s="12">
        <v>0</v>
      </c>
      <c r="O10" s="12">
        <v>0</v>
      </c>
      <c r="P10" s="12">
        <v>408.537</v>
      </c>
      <c r="Q10" s="12">
        <v>0</v>
      </c>
      <c r="R10" s="12">
        <v>0</v>
      </c>
    </row>
    <row r="11" ht="20.25" spans="1:18">
      <c r="A11" s="6" t="s">
        <v>953</v>
      </c>
      <c r="B11" s="6" t="s">
        <v>954</v>
      </c>
      <c r="C11" s="6">
        <v>3232.848</v>
      </c>
      <c r="D11" s="6">
        <v>3519.598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1</v>
      </c>
      <c r="M11" s="12">
        <v>0</v>
      </c>
      <c r="N11" s="12">
        <v>0</v>
      </c>
      <c r="O11" s="12">
        <v>0</v>
      </c>
      <c r="P11" s="12">
        <v>1.915</v>
      </c>
      <c r="Q11" s="12">
        <v>0</v>
      </c>
      <c r="R11" s="12">
        <v>0</v>
      </c>
    </row>
    <row r="12" ht="20.25" spans="1:18">
      <c r="A12" s="6" t="s">
        <v>955</v>
      </c>
      <c r="B12" s="6" t="s">
        <v>956</v>
      </c>
      <c r="C12" s="6">
        <v>16471.963</v>
      </c>
      <c r="D12" s="6">
        <v>19009.066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0</v>
      </c>
      <c r="M12" s="12">
        <v>0</v>
      </c>
      <c r="N12" s="12">
        <v>-1</v>
      </c>
      <c r="O12" s="12">
        <v>0</v>
      </c>
      <c r="P12" s="12">
        <v>65.826</v>
      </c>
      <c r="Q12" s="12">
        <v>0</v>
      </c>
      <c r="R12" s="12">
        <v>0</v>
      </c>
    </row>
    <row r="13" ht="20.25" spans="1:18">
      <c r="A13" s="6" t="s">
        <v>957</v>
      </c>
      <c r="B13" s="6" t="s">
        <v>958</v>
      </c>
      <c r="C13" s="6">
        <v>5721.569</v>
      </c>
      <c r="D13" s="6">
        <v>6255.762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2</v>
      </c>
      <c r="M13" s="12">
        <v>0</v>
      </c>
      <c r="N13" s="12">
        <v>0</v>
      </c>
      <c r="O13" s="12">
        <v>0</v>
      </c>
      <c r="P13" s="12">
        <v>21.716</v>
      </c>
      <c r="Q13" s="12">
        <v>0</v>
      </c>
      <c r="R13" s="12">
        <v>0</v>
      </c>
    </row>
    <row r="14" ht="20.25" spans="1:18">
      <c r="A14" s="6" t="s">
        <v>959</v>
      </c>
      <c r="B14" s="6" t="s">
        <v>960</v>
      </c>
      <c r="C14" s="6">
        <v>3315.982</v>
      </c>
      <c r="D14" s="6">
        <v>3823.327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2</v>
      </c>
      <c r="L14" s="12">
        <v>0</v>
      </c>
      <c r="M14" s="12">
        <v>0</v>
      </c>
      <c r="N14" s="12">
        <v>1</v>
      </c>
      <c r="O14" s="12">
        <v>0</v>
      </c>
      <c r="P14" s="12">
        <v>-7.1</v>
      </c>
      <c r="Q14" s="12">
        <v>0</v>
      </c>
      <c r="R14" s="12">
        <v>0</v>
      </c>
    </row>
    <row r="15" ht="20.25" spans="1:18">
      <c r="A15" s="6" t="s">
        <v>961</v>
      </c>
      <c r="B15" s="6" t="s">
        <v>962</v>
      </c>
      <c r="C15" s="6">
        <v>23116.797</v>
      </c>
      <c r="D15" s="6">
        <v>25778.291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3</v>
      </c>
      <c r="L15" s="12">
        <v>2</v>
      </c>
      <c r="M15" s="12">
        <v>0</v>
      </c>
      <c r="N15" s="12">
        <v>0</v>
      </c>
      <c r="O15" s="12">
        <v>0</v>
      </c>
      <c r="P15" s="12">
        <v>84.357</v>
      </c>
      <c r="Q15" s="12">
        <v>0</v>
      </c>
      <c r="R15" s="12">
        <v>1</v>
      </c>
    </row>
    <row r="16" ht="20.25" spans="1:18">
      <c r="A16" s="6" t="s">
        <v>963</v>
      </c>
      <c r="B16" s="6" t="s">
        <v>964</v>
      </c>
      <c r="C16" s="6">
        <v>4527.295</v>
      </c>
      <c r="D16" s="6">
        <v>4873.982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2</v>
      </c>
      <c r="M16" s="12">
        <v>0</v>
      </c>
      <c r="N16" s="12">
        <v>-1</v>
      </c>
      <c r="O16" s="12">
        <v>0</v>
      </c>
      <c r="P16" s="12">
        <v>1.915</v>
      </c>
      <c r="Q16" s="12">
        <v>0</v>
      </c>
      <c r="R16" s="12">
        <v>0</v>
      </c>
    </row>
    <row r="17" ht="20.25" spans="1:18">
      <c r="A17" s="6" t="s">
        <v>965</v>
      </c>
      <c r="B17" s="6" t="s">
        <v>966</v>
      </c>
      <c r="C17" s="6">
        <v>1623.627</v>
      </c>
      <c r="D17" s="6">
        <v>1956.654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1</v>
      </c>
      <c r="L17" s="12">
        <v>2</v>
      </c>
      <c r="M17" s="12">
        <v>0</v>
      </c>
      <c r="N17" s="12">
        <v>0</v>
      </c>
      <c r="O17" s="12">
        <v>0</v>
      </c>
      <c r="P17" s="12">
        <v>1.03</v>
      </c>
      <c r="Q17" s="12">
        <v>0</v>
      </c>
      <c r="R17" s="12">
        <v>0</v>
      </c>
    </row>
    <row r="18" ht="20.25" spans="1:18">
      <c r="A18" s="6" t="s">
        <v>967</v>
      </c>
      <c r="B18" s="6" t="s">
        <v>968</v>
      </c>
      <c r="C18" s="6">
        <v>3106.663</v>
      </c>
      <c r="D18" s="6">
        <v>3450.145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0</v>
      </c>
      <c r="M18" s="12">
        <v>0</v>
      </c>
      <c r="N18" s="12">
        <v>-1</v>
      </c>
      <c r="O18" s="12">
        <v>0</v>
      </c>
      <c r="P18" s="12">
        <v>-1.637</v>
      </c>
      <c r="Q18" s="12">
        <v>0</v>
      </c>
      <c r="R18" s="12">
        <v>0</v>
      </c>
    </row>
    <row r="19" ht="20.25" spans="1:18">
      <c r="A19" s="6" t="s">
        <v>969</v>
      </c>
      <c r="B19" s="6" t="s">
        <v>970</v>
      </c>
      <c r="C19" s="6">
        <v>1049.736</v>
      </c>
      <c r="D19" s="6">
        <v>1308.244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2</v>
      </c>
      <c r="M19" s="12">
        <v>0</v>
      </c>
      <c r="N19" s="12">
        <v>0</v>
      </c>
      <c r="O19" s="12">
        <v>0</v>
      </c>
      <c r="P19" s="12">
        <v>3.221</v>
      </c>
      <c r="Q19" s="12">
        <v>0</v>
      </c>
      <c r="R19" s="12">
        <v>1</v>
      </c>
    </row>
    <row r="20" ht="20.25" spans="1:18">
      <c r="A20" s="6" t="s">
        <v>971</v>
      </c>
      <c r="B20" s="6" t="s">
        <v>972</v>
      </c>
      <c r="C20" s="6">
        <v>7683.608</v>
      </c>
      <c r="D20" s="6">
        <v>8255.523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2</v>
      </c>
      <c r="M20" s="12">
        <v>0</v>
      </c>
      <c r="N20" s="12">
        <v>-1</v>
      </c>
      <c r="O20" s="12">
        <v>0</v>
      </c>
      <c r="P20" s="12">
        <v>5.485</v>
      </c>
      <c r="Q20" s="12">
        <v>0</v>
      </c>
      <c r="R20" s="12">
        <v>0</v>
      </c>
    </row>
    <row r="21" ht="20.25" spans="1:18">
      <c r="A21" s="6" t="s">
        <v>973</v>
      </c>
      <c r="B21" s="6" t="s">
        <v>974</v>
      </c>
      <c r="C21" s="6">
        <v>7271.2</v>
      </c>
      <c r="D21" s="6">
        <v>7540.874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1</v>
      </c>
      <c r="L21" s="12">
        <v>2</v>
      </c>
      <c r="M21" s="12">
        <v>0</v>
      </c>
      <c r="N21" s="12">
        <v>0</v>
      </c>
      <c r="O21" s="12">
        <v>0</v>
      </c>
      <c r="P21" s="12">
        <v>2.78</v>
      </c>
      <c r="Q21" s="12">
        <v>0</v>
      </c>
      <c r="R21" s="12">
        <v>0</v>
      </c>
    </row>
    <row r="22" ht="20.25" spans="1:18">
      <c r="A22" s="6" t="s">
        <v>975</v>
      </c>
      <c r="B22" s="6" t="s">
        <v>976</v>
      </c>
      <c r="C22" s="6">
        <v>5018.709</v>
      </c>
      <c r="D22" s="6">
        <v>5552.241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1</v>
      </c>
      <c r="L22" s="12">
        <v>2</v>
      </c>
      <c r="M22" s="12">
        <v>0</v>
      </c>
      <c r="N22" s="12">
        <v>0</v>
      </c>
      <c r="O22" s="12">
        <v>0</v>
      </c>
      <c r="P22" s="12">
        <v>7.968</v>
      </c>
      <c r="Q22" s="12">
        <v>0</v>
      </c>
      <c r="R22" s="12">
        <v>1</v>
      </c>
    </row>
    <row r="23" ht="20.25" spans="1:18">
      <c r="A23" s="6" t="s">
        <v>977</v>
      </c>
      <c r="B23" s="6" t="s">
        <v>978</v>
      </c>
      <c r="C23" s="6">
        <v>13311.273</v>
      </c>
      <c r="D23" s="6">
        <v>14056.496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0</v>
      </c>
      <c r="L23" s="12">
        <v>2</v>
      </c>
      <c r="M23" s="12">
        <v>0</v>
      </c>
      <c r="N23" s="12">
        <v>-1</v>
      </c>
      <c r="O23" s="12">
        <v>0</v>
      </c>
      <c r="P23" s="12">
        <v>-12.273</v>
      </c>
      <c r="Q23" s="12">
        <v>-1</v>
      </c>
      <c r="R23" s="12">
        <v>0</v>
      </c>
    </row>
    <row r="24" ht="20.25" spans="1:18">
      <c r="A24" s="6" t="s">
        <v>979</v>
      </c>
      <c r="B24" s="6" t="s">
        <v>980</v>
      </c>
      <c r="C24" s="6">
        <v>1210.927</v>
      </c>
      <c r="D24" s="6">
        <v>1499.227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1</v>
      </c>
      <c r="L24" s="12">
        <v>0</v>
      </c>
      <c r="M24" s="12">
        <v>0</v>
      </c>
      <c r="N24" s="12">
        <v>0</v>
      </c>
      <c r="O24" s="12">
        <v>0</v>
      </c>
      <c r="P24" s="12">
        <v>1.733</v>
      </c>
      <c r="Q24" s="12">
        <v>0</v>
      </c>
      <c r="R24" s="12">
        <v>0</v>
      </c>
    </row>
    <row r="25" ht="20.25" spans="1:18">
      <c r="A25" s="6" t="s">
        <v>981</v>
      </c>
      <c r="B25" s="6" t="s">
        <v>982</v>
      </c>
      <c r="C25" s="6">
        <v>2627.982</v>
      </c>
      <c r="D25" s="6">
        <v>3237.309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2</v>
      </c>
      <c r="L25" s="12">
        <v>0</v>
      </c>
      <c r="M25" s="12">
        <v>1</v>
      </c>
      <c r="N25" s="12">
        <v>-1</v>
      </c>
      <c r="O25" s="12">
        <v>0</v>
      </c>
      <c r="P25" s="12">
        <v>7.748</v>
      </c>
      <c r="Q25" s="12">
        <v>0</v>
      </c>
      <c r="R25" s="12">
        <v>0</v>
      </c>
    </row>
    <row r="26" ht="20.25" spans="1:18">
      <c r="A26" s="6" t="s">
        <v>983</v>
      </c>
      <c r="B26" s="6" t="s">
        <v>984</v>
      </c>
      <c r="C26" s="6">
        <v>2490.844</v>
      </c>
      <c r="D26" s="6">
        <v>2719.345</v>
      </c>
      <c r="E26" s="6">
        <v>0</v>
      </c>
      <c r="F26" s="6">
        <v>0</v>
      </c>
      <c r="G26" s="6">
        <v>1</v>
      </c>
      <c r="H26" s="7">
        <v>0</v>
      </c>
      <c r="I26" s="7">
        <v>0</v>
      </c>
      <c r="J26" s="7">
        <v>0</v>
      </c>
      <c r="K26" s="12">
        <v>1</v>
      </c>
      <c r="L26" s="12">
        <v>2</v>
      </c>
      <c r="M26" s="12">
        <v>0</v>
      </c>
      <c r="N26" s="12">
        <v>0</v>
      </c>
      <c r="O26" s="12">
        <v>1</v>
      </c>
      <c r="P26" s="12">
        <v>7.319</v>
      </c>
      <c r="Q26" s="12">
        <v>0</v>
      </c>
      <c r="R26" s="12">
        <v>1</v>
      </c>
    </row>
    <row r="27" ht="20.25" spans="1:18">
      <c r="A27" s="6" t="s">
        <v>985</v>
      </c>
      <c r="B27" s="6" t="s">
        <v>986</v>
      </c>
      <c r="C27" s="6">
        <v>6704.66</v>
      </c>
      <c r="D27" s="6">
        <v>7280.764</v>
      </c>
      <c r="E27" s="6">
        <v>0</v>
      </c>
      <c r="F27" s="6">
        <v>0</v>
      </c>
      <c r="G27" s="6">
        <v>1</v>
      </c>
      <c r="H27" s="7">
        <v>0</v>
      </c>
      <c r="I27" s="7">
        <v>0</v>
      </c>
      <c r="J27" s="7">
        <v>0</v>
      </c>
      <c r="K27" s="12">
        <v>0</v>
      </c>
      <c r="L27" s="12">
        <v>0</v>
      </c>
      <c r="M27" s="12">
        <v>0</v>
      </c>
      <c r="N27" s="12">
        <v>-1</v>
      </c>
      <c r="O27" s="12">
        <v>0</v>
      </c>
      <c r="P27" s="12">
        <v>4.565</v>
      </c>
      <c r="Q27" s="12">
        <v>0</v>
      </c>
      <c r="R27" s="12">
        <v>0</v>
      </c>
    </row>
    <row r="28" ht="20.25" spans="1:18">
      <c r="A28" s="6" t="s">
        <v>987</v>
      </c>
      <c r="B28" s="6" t="s">
        <v>988</v>
      </c>
      <c r="C28" s="6">
        <v>6034.288</v>
      </c>
      <c r="D28" s="6">
        <v>6585.73</v>
      </c>
      <c r="E28" s="6">
        <v>0</v>
      </c>
      <c r="F28" s="6">
        <v>0</v>
      </c>
      <c r="G28" s="6">
        <v>1</v>
      </c>
      <c r="H28" s="7">
        <v>0</v>
      </c>
      <c r="I28" s="7">
        <v>0</v>
      </c>
      <c r="J28" s="7">
        <v>0</v>
      </c>
      <c r="K28" s="12">
        <v>0</v>
      </c>
      <c r="L28" s="12">
        <v>0</v>
      </c>
      <c r="M28" s="12">
        <v>0</v>
      </c>
      <c r="N28" s="12">
        <v>-1</v>
      </c>
      <c r="O28" s="12">
        <v>0</v>
      </c>
      <c r="P28" s="12">
        <v>11.764</v>
      </c>
      <c r="Q28" s="12">
        <v>0</v>
      </c>
      <c r="R28" s="12">
        <v>0</v>
      </c>
    </row>
    <row r="29" ht="20.25" spans="1:18">
      <c r="A29" s="6" t="s">
        <v>989</v>
      </c>
      <c r="B29" s="6" t="s">
        <v>990</v>
      </c>
      <c r="C29" s="6">
        <v>6626.511</v>
      </c>
      <c r="D29" s="6">
        <v>7649.564</v>
      </c>
      <c r="E29" s="6">
        <v>0</v>
      </c>
      <c r="F29" s="6">
        <v>0</v>
      </c>
      <c r="G29" s="6">
        <v>1</v>
      </c>
      <c r="H29" s="7">
        <v>0</v>
      </c>
      <c r="I29" s="7">
        <v>0</v>
      </c>
      <c r="J29" s="7">
        <v>0</v>
      </c>
      <c r="K29" s="12">
        <v>0</v>
      </c>
      <c r="L29" s="12">
        <v>0</v>
      </c>
      <c r="M29" s="12">
        <v>0</v>
      </c>
      <c r="N29" s="12">
        <v>-1</v>
      </c>
      <c r="O29" s="12">
        <v>0</v>
      </c>
      <c r="P29" s="12">
        <v>12.288</v>
      </c>
      <c r="Q29" s="12">
        <v>0</v>
      </c>
      <c r="R29" s="12">
        <v>0</v>
      </c>
    </row>
    <row r="30" ht="20.25" spans="1:18">
      <c r="A30" s="6" t="s">
        <v>991</v>
      </c>
      <c r="B30" s="6" t="s">
        <v>992</v>
      </c>
      <c r="C30" s="6">
        <v>2544.073</v>
      </c>
      <c r="D30" s="6">
        <v>3003.527</v>
      </c>
      <c r="E30" s="6">
        <v>0</v>
      </c>
      <c r="F30" s="6">
        <v>0</v>
      </c>
      <c r="G30" s="6">
        <v>1</v>
      </c>
      <c r="H30" s="7">
        <v>0</v>
      </c>
      <c r="I30" s="7">
        <v>0</v>
      </c>
      <c r="J30" s="7">
        <v>0</v>
      </c>
      <c r="K30" s="12">
        <v>4</v>
      </c>
      <c r="L30" s="12">
        <v>0</v>
      </c>
      <c r="M30" s="12">
        <v>0</v>
      </c>
      <c r="N30" s="12">
        <v>1</v>
      </c>
      <c r="O30" s="12">
        <v>0</v>
      </c>
      <c r="P30" s="12">
        <v>3.728</v>
      </c>
      <c r="Q30" s="12">
        <v>0</v>
      </c>
      <c r="R30" s="12">
        <v>0</v>
      </c>
    </row>
    <row r="31" ht="20.25" spans="1:18">
      <c r="A31" s="6" t="s">
        <v>993</v>
      </c>
      <c r="B31" s="6" t="s">
        <v>994</v>
      </c>
      <c r="C31" s="6">
        <v>1376.382</v>
      </c>
      <c r="D31" s="6">
        <v>1603.959</v>
      </c>
      <c r="E31" s="6">
        <v>0</v>
      </c>
      <c r="F31" s="6">
        <v>0</v>
      </c>
      <c r="G31" s="6">
        <v>1</v>
      </c>
      <c r="H31" s="7">
        <v>0</v>
      </c>
      <c r="I31" s="7">
        <v>0</v>
      </c>
      <c r="J31" s="7">
        <v>0</v>
      </c>
      <c r="K31" s="12">
        <v>0</v>
      </c>
      <c r="L31" s="12">
        <v>2</v>
      </c>
      <c r="M31" s="12">
        <v>0</v>
      </c>
      <c r="N31" s="12">
        <v>0</v>
      </c>
      <c r="O31" s="12">
        <v>0</v>
      </c>
      <c r="P31" s="12">
        <v>3.148</v>
      </c>
      <c r="Q31" s="12">
        <v>0</v>
      </c>
      <c r="R31" s="12">
        <v>0</v>
      </c>
    </row>
    <row r="32" ht="20.25" spans="1:18">
      <c r="A32" s="6" t="s">
        <v>995</v>
      </c>
      <c r="B32" s="6" t="s">
        <v>996</v>
      </c>
      <c r="C32" s="6">
        <v>6058.422</v>
      </c>
      <c r="D32" s="6">
        <v>6575.973</v>
      </c>
      <c r="E32" s="6">
        <v>0</v>
      </c>
      <c r="F32" s="6">
        <v>0</v>
      </c>
      <c r="G32" s="6">
        <v>1</v>
      </c>
      <c r="H32" s="7">
        <v>0</v>
      </c>
      <c r="I32" s="7">
        <v>0</v>
      </c>
      <c r="J32" s="7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10.189</v>
      </c>
      <c r="Q32" s="12">
        <v>0</v>
      </c>
      <c r="R32" s="12">
        <v>1</v>
      </c>
    </row>
    <row r="33" ht="20.25" spans="1:18">
      <c r="A33" s="6" t="s">
        <v>997</v>
      </c>
      <c r="B33" s="6" t="s">
        <v>998</v>
      </c>
      <c r="C33" s="6">
        <v>2561.2</v>
      </c>
      <c r="D33" s="6">
        <v>3340.545</v>
      </c>
      <c r="E33" s="6">
        <v>0</v>
      </c>
      <c r="F33" s="6">
        <v>0</v>
      </c>
      <c r="G33" s="6">
        <v>1</v>
      </c>
      <c r="H33" s="7">
        <v>0</v>
      </c>
      <c r="I33" s="7">
        <v>0</v>
      </c>
      <c r="J33" s="7">
        <v>0</v>
      </c>
      <c r="K33" s="12">
        <v>0</v>
      </c>
      <c r="L33" s="12">
        <v>1</v>
      </c>
      <c r="M33" s="12">
        <v>0</v>
      </c>
      <c r="N33" s="12">
        <v>0</v>
      </c>
      <c r="O33" s="12">
        <v>0</v>
      </c>
      <c r="P33" s="12">
        <v>4.255</v>
      </c>
      <c r="Q33" s="12">
        <v>0</v>
      </c>
      <c r="R33" s="12">
        <v>1</v>
      </c>
    </row>
    <row r="34" ht="20.25" spans="1:18">
      <c r="A34" s="6" t="s">
        <v>999</v>
      </c>
      <c r="B34" s="6" t="s">
        <v>1000</v>
      </c>
      <c r="C34" s="6">
        <v>4725.093</v>
      </c>
      <c r="D34" s="6">
        <v>5307.091</v>
      </c>
      <c r="E34" s="6">
        <v>0</v>
      </c>
      <c r="F34" s="6">
        <v>0</v>
      </c>
      <c r="G34" s="6">
        <v>1</v>
      </c>
      <c r="H34" s="7">
        <v>0</v>
      </c>
      <c r="I34" s="7">
        <v>0</v>
      </c>
      <c r="J34" s="7">
        <v>0</v>
      </c>
      <c r="K34" s="12">
        <v>0</v>
      </c>
      <c r="L34" s="12">
        <v>0</v>
      </c>
      <c r="M34" s="12">
        <v>0</v>
      </c>
      <c r="N34" s="12">
        <v>-1</v>
      </c>
      <c r="O34" s="12">
        <v>1</v>
      </c>
      <c r="P34" s="12">
        <v>2.168</v>
      </c>
      <c r="Q34" s="12">
        <v>0</v>
      </c>
      <c r="R34" s="12">
        <v>0</v>
      </c>
    </row>
    <row r="35" ht="20.25" spans="1:18">
      <c r="A35" s="6" t="s">
        <v>1001</v>
      </c>
      <c r="B35" s="6" t="s">
        <v>1002</v>
      </c>
      <c r="C35" s="6">
        <v>967.581</v>
      </c>
      <c r="D35" s="6">
        <v>1188.864</v>
      </c>
      <c r="E35" s="6">
        <v>0</v>
      </c>
      <c r="F35" s="6">
        <v>0</v>
      </c>
      <c r="G35" s="6">
        <v>1</v>
      </c>
      <c r="H35" s="7">
        <v>0</v>
      </c>
      <c r="I35" s="7">
        <v>0</v>
      </c>
      <c r="J35" s="7">
        <v>0</v>
      </c>
      <c r="K35" s="12">
        <v>4</v>
      </c>
      <c r="L35" s="12">
        <v>0</v>
      </c>
      <c r="M35" s="12">
        <v>0</v>
      </c>
      <c r="N35" s="12">
        <v>0</v>
      </c>
      <c r="O35" s="12">
        <v>0</v>
      </c>
      <c r="P35" s="12">
        <v>3.163</v>
      </c>
      <c r="Q35" s="12">
        <v>0</v>
      </c>
      <c r="R35" s="12">
        <v>1</v>
      </c>
    </row>
    <row r="36" ht="20.25" spans="1:18">
      <c r="A36" s="6" t="s">
        <v>1003</v>
      </c>
      <c r="B36" s="6" t="s">
        <v>1004</v>
      </c>
      <c r="C36" s="6">
        <v>3675.871</v>
      </c>
      <c r="D36" s="6">
        <v>4084.259</v>
      </c>
      <c r="E36" s="6">
        <v>0</v>
      </c>
      <c r="F36" s="6">
        <v>0</v>
      </c>
      <c r="G36" s="6">
        <v>1</v>
      </c>
      <c r="H36" s="7">
        <v>0</v>
      </c>
      <c r="I36" s="7">
        <v>0</v>
      </c>
      <c r="J36" s="7">
        <v>0</v>
      </c>
      <c r="K36" s="12">
        <v>1</v>
      </c>
      <c r="L36" s="12">
        <v>1</v>
      </c>
      <c r="M36" s="12">
        <v>1</v>
      </c>
      <c r="N36" s="12">
        <v>0</v>
      </c>
      <c r="O36" s="12">
        <v>0</v>
      </c>
      <c r="P36" s="12">
        <v>-26.918</v>
      </c>
      <c r="Q36" s="12">
        <v>0</v>
      </c>
      <c r="R36" s="12">
        <v>0</v>
      </c>
    </row>
    <row r="37" ht="20.25" spans="1:18">
      <c r="A37" s="6" t="s">
        <v>1005</v>
      </c>
      <c r="B37" s="6" t="s">
        <v>1006</v>
      </c>
      <c r="C37" s="6">
        <v>2530.882</v>
      </c>
      <c r="D37" s="6">
        <v>2790.793</v>
      </c>
      <c r="E37" s="6">
        <v>0</v>
      </c>
      <c r="F37" s="6">
        <v>0</v>
      </c>
      <c r="G37" s="6">
        <v>1</v>
      </c>
      <c r="H37" s="7">
        <v>0</v>
      </c>
      <c r="I37" s="7">
        <v>0</v>
      </c>
      <c r="J37" s="7">
        <v>0</v>
      </c>
      <c r="K37" s="12">
        <v>1</v>
      </c>
      <c r="L37" s="12">
        <v>0</v>
      </c>
      <c r="M37" s="12">
        <v>0</v>
      </c>
      <c r="N37" s="12">
        <v>0</v>
      </c>
      <c r="O37" s="12">
        <v>0</v>
      </c>
      <c r="P37" s="12">
        <v>-15.355</v>
      </c>
      <c r="Q37" s="12">
        <v>0</v>
      </c>
      <c r="R37" s="12">
        <v>0</v>
      </c>
    </row>
    <row r="38" ht="20.25" spans="1:18">
      <c r="A38" s="6" t="s">
        <v>1007</v>
      </c>
      <c r="B38" s="6" t="s">
        <v>1008</v>
      </c>
      <c r="C38" s="6">
        <v>64816.512</v>
      </c>
      <c r="D38" s="6">
        <v>71114.336</v>
      </c>
      <c r="E38" s="6">
        <v>0</v>
      </c>
      <c r="F38" s="6">
        <v>0</v>
      </c>
      <c r="G38" s="6">
        <v>1</v>
      </c>
      <c r="H38" s="8">
        <v>0</v>
      </c>
      <c r="I38" s="8">
        <v>0</v>
      </c>
      <c r="J38" s="8">
        <v>0</v>
      </c>
      <c r="K38" s="12">
        <v>3</v>
      </c>
      <c r="L38" s="12">
        <v>1</v>
      </c>
      <c r="M38" s="12">
        <v>1</v>
      </c>
      <c r="N38" s="12">
        <v>-1</v>
      </c>
      <c r="O38" s="12">
        <v>0</v>
      </c>
      <c r="P38" s="12">
        <v>-65.179</v>
      </c>
      <c r="Q38" s="12">
        <v>0</v>
      </c>
      <c r="R38" s="12">
        <v>0</v>
      </c>
    </row>
    <row r="39" ht="20.25" spans="1:18">
      <c r="A39" s="6" t="s">
        <v>1009</v>
      </c>
      <c r="B39" s="6" t="s">
        <v>1010</v>
      </c>
      <c r="C39" s="6">
        <v>3572.492</v>
      </c>
      <c r="D39" s="6">
        <v>4286.431</v>
      </c>
      <c r="E39" s="6">
        <v>0</v>
      </c>
      <c r="F39" s="6">
        <v>0</v>
      </c>
      <c r="G39" s="6">
        <v>1</v>
      </c>
      <c r="H39" s="8">
        <v>0</v>
      </c>
      <c r="I39" s="8">
        <v>0</v>
      </c>
      <c r="J39" s="8">
        <v>0</v>
      </c>
      <c r="K39" s="12">
        <v>1</v>
      </c>
      <c r="L39" s="12">
        <v>0</v>
      </c>
      <c r="M39" s="12">
        <v>0</v>
      </c>
      <c r="N39" s="12">
        <v>0</v>
      </c>
      <c r="O39" s="12">
        <v>0</v>
      </c>
      <c r="P39" s="12">
        <v>-4.351</v>
      </c>
      <c r="Q39" s="12">
        <v>0</v>
      </c>
      <c r="R39" s="12">
        <v>0</v>
      </c>
    </row>
    <row r="40" ht="20.25" spans="1:18">
      <c r="A40" s="6" t="s">
        <v>1011</v>
      </c>
      <c r="B40" s="6" t="s">
        <v>1012</v>
      </c>
      <c r="C40" s="6">
        <v>13426.893</v>
      </c>
      <c r="D40" s="6">
        <v>15583.022</v>
      </c>
      <c r="E40" s="6">
        <v>0</v>
      </c>
      <c r="F40" s="6">
        <v>0</v>
      </c>
      <c r="G40" s="6">
        <v>1</v>
      </c>
      <c r="H40" s="8">
        <v>0</v>
      </c>
      <c r="I40" s="8">
        <v>0</v>
      </c>
      <c r="J40" s="8">
        <v>0</v>
      </c>
      <c r="K40" s="12">
        <v>0</v>
      </c>
      <c r="L40" s="12">
        <v>0</v>
      </c>
      <c r="M40" s="12">
        <v>0</v>
      </c>
      <c r="N40" s="12">
        <v>-1</v>
      </c>
      <c r="O40" s="12">
        <v>0</v>
      </c>
      <c r="P40" s="12">
        <v>55.012</v>
      </c>
      <c r="Q40" s="12">
        <v>0</v>
      </c>
      <c r="R40" s="12">
        <v>0</v>
      </c>
    </row>
    <row r="41" ht="20.25" spans="1:18">
      <c r="A41" s="6" t="s">
        <v>1013</v>
      </c>
      <c r="B41" s="6" t="s">
        <v>1014</v>
      </c>
      <c r="C41" s="6">
        <v>74878.453</v>
      </c>
      <c r="D41" s="6">
        <v>84927.414</v>
      </c>
      <c r="E41" s="6">
        <v>0</v>
      </c>
      <c r="F41" s="6">
        <v>0</v>
      </c>
      <c r="G41" s="6">
        <v>1</v>
      </c>
      <c r="H41" s="8">
        <v>0</v>
      </c>
      <c r="I41" s="8">
        <v>0</v>
      </c>
      <c r="J41" s="8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47.29</v>
      </c>
      <c r="Q41" s="12">
        <v>0</v>
      </c>
      <c r="R41" s="12">
        <v>0</v>
      </c>
    </row>
    <row r="42" ht="20.25" spans="1:18">
      <c r="A42" s="6" t="s">
        <v>1015</v>
      </c>
      <c r="B42" s="6" t="s">
        <v>1016</v>
      </c>
      <c r="C42" s="6">
        <v>10116.146</v>
      </c>
      <c r="D42" s="6">
        <v>12265.689</v>
      </c>
      <c r="E42" s="6">
        <v>0</v>
      </c>
      <c r="F42" s="6">
        <v>0</v>
      </c>
      <c r="G42" s="6">
        <v>1</v>
      </c>
      <c r="H42" s="8">
        <v>0</v>
      </c>
      <c r="I42" s="8">
        <v>0</v>
      </c>
      <c r="J42" s="8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-8.41</v>
      </c>
      <c r="Q42" s="12">
        <v>0</v>
      </c>
      <c r="R42" s="12">
        <v>1</v>
      </c>
    </row>
    <row r="43" ht="20.25" spans="1:18">
      <c r="A43" s="7" t="s">
        <v>1017</v>
      </c>
      <c r="B43" s="7" t="s">
        <v>1018</v>
      </c>
      <c r="C43" s="7">
        <v>1628.4</v>
      </c>
      <c r="D43" s="7">
        <v>1881.858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12.546</v>
      </c>
      <c r="K43" s="12">
        <v>4</v>
      </c>
      <c r="L43" s="12">
        <v>0</v>
      </c>
      <c r="M43" s="12">
        <v>-1</v>
      </c>
      <c r="N43" s="12">
        <v>1</v>
      </c>
      <c r="O43" s="12">
        <v>0</v>
      </c>
      <c r="P43" s="12">
        <v>-0.354</v>
      </c>
      <c r="Q43" s="12">
        <v>0</v>
      </c>
      <c r="R43" s="12">
        <v>0</v>
      </c>
    </row>
    <row r="44" ht="20.25" spans="1:18">
      <c r="A44" s="7" t="s">
        <v>1019</v>
      </c>
      <c r="B44" s="7" t="s">
        <v>1020</v>
      </c>
      <c r="C44" s="7">
        <v>7436.247</v>
      </c>
      <c r="D44" s="7">
        <v>8323.771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3.048</v>
      </c>
      <c r="K44" s="12">
        <v>1</v>
      </c>
      <c r="L44" s="12">
        <v>2</v>
      </c>
      <c r="M44" s="12">
        <v>0</v>
      </c>
      <c r="N44" s="12">
        <v>0</v>
      </c>
      <c r="O44" s="12">
        <v>0</v>
      </c>
      <c r="P44" s="12">
        <v>-2.58</v>
      </c>
      <c r="Q44" s="12">
        <v>0</v>
      </c>
      <c r="R44" s="12">
        <v>0</v>
      </c>
    </row>
    <row r="45" ht="20.25" spans="1:18">
      <c r="A45" s="7" t="s">
        <v>1021</v>
      </c>
      <c r="B45" s="7" t="s">
        <v>1022</v>
      </c>
      <c r="C45" s="7">
        <v>19611.242</v>
      </c>
      <c r="D45" s="7">
        <v>21232.158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0.602</v>
      </c>
      <c r="K45" s="12">
        <v>4</v>
      </c>
      <c r="L45" s="12">
        <v>2</v>
      </c>
      <c r="M45" s="12">
        <v>0</v>
      </c>
      <c r="N45" s="12">
        <v>0</v>
      </c>
      <c r="O45" s="12">
        <v>0</v>
      </c>
      <c r="P45" s="12">
        <v>58.767</v>
      </c>
      <c r="Q45" s="12">
        <v>0</v>
      </c>
      <c r="R45" s="12">
        <v>1</v>
      </c>
    </row>
    <row r="46" ht="20.25" spans="1:18">
      <c r="A46" s="7" t="s">
        <v>1023</v>
      </c>
      <c r="B46" s="7" t="s">
        <v>1024</v>
      </c>
      <c r="C46" s="7">
        <v>2857.855</v>
      </c>
      <c r="D46" s="7">
        <v>3548.506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3.938</v>
      </c>
      <c r="K46" s="12">
        <v>1</v>
      </c>
      <c r="L46" s="12">
        <v>0</v>
      </c>
      <c r="M46" s="12">
        <v>0</v>
      </c>
      <c r="N46" s="12">
        <v>1</v>
      </c>
      <c r="O46" s="12">
        <v>0</v>
      </c>
      <c r="P46" s="12">
        <v>-4.377</v>
      </c>
      <c r="Q46" s="12">
        <v>0</v>
      </c>
      <c r="R46" s="12">
        <v>0</v>
      </c>
    </row>
    <row r="47" ht="20.25" spans="1:18">
      <c r="A47" s="7" t="s">
        <v>1025</v>
      </c>
      <c r="B47" s="7" t="s">
        <v>1026</v>
      </c>
      <c r="C47" s="7">
        <v>16392.025</v>
      </c>
      <c r="D47" s="7">
        <v>17958.871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1.638</v>
      </c>
      <c r="K47" s="12">
        <v>2</v>
      </c>
      <c r="L47" s="12">
        <v>2</v>
      </c>
      <c r="M47" s="12">
        <v>0</v>
      </c>
      <c r="N47" s="12">
        <v>0</v>
      </c>
      <c r="O47" s="12">
        <v>0</v>
      </c>
      <c r="P47" s="12">
        <v>30.75</v>
      </c>
      <c r="Q47" s="12">
        <v>0</v>
      </c>
      <c r="R47" s="12">
        <v>0</v>
      </c>
    </row>
    <row r="48" ht="20.25" spans="1:18">
      <c r="A48" s="7" t="s">
        <v>1027</v>
      </c>
      <c r="B48" s="7" t="s">
        <v>1028</v>
      </c>
      <c r="C48" s="7">
        <v>238155.453</v>
      </c>
      <c r="D48" s="7">
        <v>275134.156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11.476</v>
      </c>
      <c r="K48" s="12">
        <v>4</v>
      </c>
      <c r="L48" s="12">
        <v>1</v>
      </c>
      <c r="M48" s="12">
        <v>0</v>
      </c>
      <c r="N48" s="12">
        <v>0</v>
      </c>
      <c r="O48" s="12">
        <v>0</v>
      </c>
      <c r="P48" s="12">
        <v>159.235</v>
      </c>
      <c r="Q48" s="12">
        <v>0</v>
      </c>
      <c r="R48" s="12">
        <v>1</v>
      </c>
    </row>
    <row r="49" ht="20.25" spans="1:18">
      <c r="A49" s="7" t="s">
        <v>1029</v>
      </c>
      <c r="B49" s="7" t="s">
        <v>1030</v>
      </c>
      <c r="C49" s="7">
        <v>12631.954</v>
      </c>
      <c r="D49" s="7">
        <v>13607.088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2.569</v>
      </c>
      <c r="K49" s="12">
        <v>1</v>
      </c>
      <c r="L49" s="12">
        <v>2</v>
      </c>
      <c r="M49" s="12">
        <v>0</v>
      </c>
      <c r="N49" s="12">
        <v>0</v>
      </c>
      <c r="O49" s="12">
        <v>0</v>
      </c>
      <c r="P49" s="12">
        <v>-0.671</v>
      </c>
      <c r="Q49" s="12">
        <v>0</v>
      </c>
      <c r="R49" s="12">
        <v>-1</v>
      </c>
    </row>
    <row r="50" ht="20.25" spans="1:18">
      <c r="A50" s="8" t="s">
        <v>1031</v>
      </c>
      <c r="B50" s="8" t="s">
        <v>1032</v>
      </c>
      <c r="C50" s="8">
        <v>3791.021</v>
      </c>
      <c r="D50" s="8">
        <v>4214.747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6.487</v>
      </c>
      <c r="K50" s="12">
        <v>0</v>
      </c>
      <c r="L50" s="12">
        <v>2</v>
      </c>
      <c r="M50" s="12">
        <v>0</v>
      </c>
      <c r="N50" s="12">
        <v>0</v>
      </c>
      <c r="O50" s="12">
        <v>0</v>
      </c>
      <c r="P50" s="12">
        <v>2.654</v>
      </c>
      <c r="Q50" s="12">
        <v>0</v>
      </c>
      <c r="R50" s="12">
        <v>-1</v>
      </c>
    </row>
    <row r="51" ht="20.25" spans="1:18">
      <c r="A51" s="7" t="s">
        <v>1033</v>
      </c>
      <c r="B51" s="7" t="s">
        <v>1034</v>
      </c>
      <c r="C51" s="7">
        <v>3158.149</v>
      </c>
      <c r="D51" s="7">
        <v>3674.499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8.327</v>
      </c>
      <c r="K51" s="12">
        <v>0</v>
      </c>
      <c r="L51" s="12">
        <v>2</v>
      </c>
      <c r="M51" s="12">
        <v>0</v>
      </c>
      <c r="N51" s="12">
        <v>-1</v>
      </c>
      <c r="O51" s="12">
        <v>0</v>
      </c>
      <c r="P51" s="12">
        <v>-6.213</v>
      </c>
      <c r="Q51" s="12">
        <v>0</v>
      </c>
      <c r="R51" s="12">
        <v>0</v>
      </c>
    </row>
    <row r="52" ht="20.25" spans="1:18">
      <c r="A52" s="7" t="s">
        <v>1035</v>
      </c>
      <c r="B52" s="7" t="s">
        <v>1036</v>
      </c>
      <c r="C52" s="7">
        <v>151.64</v>
      </c>
      <c r="D52" s="7">
        <v>253.802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9.198</v>
      </c>
      <c r="K52" s="12">
        <v>0</v>
      </c>
      <c r="L52" s="12">
        <v>0</v>
      </c>
      <c r="M52" s="12">
        <v>0</v>
      </c>
      <c r="N52" s="12">
        <v>-1</v>
      </c>
      <c r="O52" s="12">
        <v>0</v>
      </c>
      <c r="P52" s="12">
        <v>-0.523</v>
      </c>
      <c r="Q52" s="12">
        <v>0</v>
      </c>
      <c r="R52" s="12">
        <v>0</v>
      </c>
    </row>
    <row r="53" ht="20.25" spans="1:18">
      <c r="A53" s="7" t="s">
        <v>1037</v>
      </c>
      <c r="B53" s="7" t="s">
        <v>1038</v>
      </c>
      <c r="C53" s="7">
        <v>2160.778</v>
      </c>
      <c r="D53" s="7">
        <v>2334.527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5.354</v>
      </c>
      <c r="K53" s="12">
        <v>3</v>
      </c>
      <c r="L53" s="12">
        <v>2</v>
      </c>
      <c r="M53" s="12">
        <v>0</v>
      </c>
      <c r="N53" s="12">
        <v>0</v>
      </c>
      <c r="O53" s="12">
        <v>0</v>
      </c>
      <c r="P53" s="12">
        <v>1.099</v>
      </c>
      <c r="Q53" s="12">
        <v>0</v>
      </c>
      <c r="R53" s="12">
        <v>0</v>
      </c>
    </row>
    <row r="54" ht="20.25" spans="1:18">
      <c r="A54" s="7" t="s">
        <v>1039</v>
      </c>
      <c r="B54" s="7" t="s">
        <v>1040</v>
      </c>
      <c r="C54" s="7">
        <v>2484.163</v>
      </c>
      <c r="D54" s="7">
        <v>2687.533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6.152</v>
      </c>
      <c r="K54" s="12">
        <v>2</v>
      </c>
      <c r="L54" s="12">
        <v>2</v>
      </c>
      <c r="M54" s="12">
        <v>0</v>
      </c>
      <c r="N54" s="12">
        <v>0</v>
      </c>
      <c r="O54" s="12">
        <v>0</v>
      </c>
      <c r="P54" s="12">
        <v>1.847</v>
      </c>
      <c r="Q54" s="12">
        <v>0</v>
      </c>
      <c r="R54" s="12">
        <v>0</v>
      </c>
    </row>
    <row r="55" ht="20.25" spans="1:18">
      <c r="A55" s="7" t="s">
        <v>1041</v>
      </c>
      <c r="B55" s="7" t="s">
        <v>1042</v>
      </c>
      <c r="C55" s="7">
        <v>1264.118</v>
      </c>
      <c r="D55" s="7">
        <v>1337.855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1.778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-2.085</v>
      </c>
      <c r="Q55" s="12">
        <v>0</v>
      </c>
      <c r="R55" s="12">
        <v>0</v>
      </c>
    </row>
    <row r="56" ht="20.25" spans="1:18">
      <c r="A56" s="7" t="s">
        <v>1043</v>
      </c>
      <c r="B56" s="7" t="s">
        <v>1044</v>
      </c>
      <c r="C56" s="7">
        <v>697.53</v>
      </c>
      <c r="D56" s="7">
        <v>790.45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3.589</v>
      </c>
      <c r="K56" s="12">
        <v>1</v>
      </c>
      <c r="L56" s="12">
        <v>2</v>
      </c>
      <c r="M56" s="12">
        <v>0</v>
      </c>
      <c r="N56" s="12">
        <v>0</v>
      </c>
      <c r="O56" s="12">
        <v>0</v>
      </c>
      <c r="P56" s="12">
        <v>0.257</v>
      </c>
      <c r="Q56" s="12">
        <v>0</v>
      </c>
      <c r="R56" s="12">
        <v>0</v>
      </c>
    </row>
    <row r="57" ht="20.25" spans="1:18">
      <c r="A57" s="7" t="s">
        <v>1045</v>
      </c>
      <c r="B57" s="7" t="s">
        <v>1046</v>
      </c>
      <c r="C57" s="7">
        <v>784.009</v>
      </c>
      <c r="D57" s="7">
        <v>896.209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4.214</v>
      </c>
      <c r="K57" s="12">
        <v>1</v>
      </c>
      <c r="L57" s="12">
        <v>0</v>
      </c>
      <c r="M57" s="12">
        <v>0</v>
      </c>
      <c r="N57" s="12">
        <v>0</v>
      </c>
      <c r="O57" s="12">
        <v>0</v>
      </c>
      <c r="P57" s="12">
        <v>0.725</v>
      </c>
      <c r="Q57" s="12">
        <v>0</v>
      </c>
      <c r="R57" s="12">
        <v>1</v>
      </c>
    </row>
    <row r="58" ht="20.25" spans="1:18">
      <c r="A58" s="7" t="s">
        <v>1047</v>
      </c>
      <c r="B58" s="7" t="s">
        <v>1048</v>
      </c>
      <c r="C58" s="7">
        <v>12597.225</v>
      </c>
      <c r="D58" s="7">
        <v>13990.341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5.497</v>
      </c>
      <c r="K58" s="12">
        <v>1</v>
      </c>
      <c r="L58" s="12">
        <v>0</v>
      </c>
      <c r="M58" s="12">
        <v>0</v>
      </c>
      <c r="N58" s="12">
        <v>0</v>
      </c>
      <c r="O58" s="12">
        <v>0</v>
      </c>
      <c r="P58" s="12">
        <v>10.365</v>
      </c>
      <c r="Q58" s="12">
        <v>0</v>
      </c>
      <c r="R58" s="12">
        <v>0</v>
      </c>
    </row>
    <row r="59" ht="20.25" spans="1:18">
      <c r="A59" s="7" t="s">
        <v>1049</v>
      </c>
      <c r="B59" s="7" t="s">
        <v>1050</v>
      </c>
      <c r="C59" s="7">
        <v>2723.075</v>
      </c>
      <c r="D59" s="7">
        <v>3177.454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10.836</v>
      </c>
      <c r="K59" s="12">
        <v>0</v>
      </c>
      <c r="L59" s="12">
        <v>2</v>
      </c>
      <c r="M59" s="12">
        <v>0</v>
      </c>
      <c r="N59" s="12">
        <v>0</v>
      </c>
      <c r="O59" s="12">
        <v>0</v>
      </c>
      <c r="P59" s="12">
        <v>0.164</v>
      </c>
      <c r="Q59" s="12">
        <v>0</v>
      </c>
      <c r="R59" s="12">
        <v>-1</v>
      </c>
    </row>
    <row r="60" ht="20.25" spans="1:18">
      <c r="A60" s="7" t="s">
        <v>1051</v>
      </c>
      <c r="B60" s="7" t="s">
        <v>1052</v>
      </c>
      <c r="C60" s="7">
        <v>8233.891</v>
      </c>
      <c r="D60" s="7">
        <v>9618.351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6.027</v>
      </c>
      <c r="K60" s="12">
        <v>2</v>
      </c>
      <c r="L60" s="12">
        <v>1</v>
      </c>
      <c r="M60" s="12">
        <v>0</v>
      </c>
      <c r="N60" s="12">
        <v>0</v>
      </c>
      <c r="O60" s="12">
        <v>0</v>
      </c>
      <c r="P60" s="12">
        <v>-6.943</v>
      </c>
      <c r="Q60" s="12">
        <v>0</v>
      </c>
      <c r="R60" s="12">
        <v>-1</v>
      </c>
    </row>
    <row r="61" ht="20.25" spans="1:18">
      <c r="A61" s="7" t="s">
        <v>1053</v>
      </c>
      <c r="B61" s="7" t="s">
        <v>1054</v>
      </c>
      <c r="C61" s="7">
        <v>4226.182</v>
      </c>
      <c r="D61" s="7">
        <v>4745.462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8.206</v>
      </c>
      <c r="K61" s="12">
        <v>0</v>
      </c>
      <c r="L61" s="12">
        <v>2</v>
      </c>
      <c r="M61" s="12">
        <v>0</v>
      </c>
      <c r="N61" s="12">
        <v>0</v>
      </c>
      <c r="O61" s="12">
        <v>0</v>
      </c>
      <c r="P61" s="12">
        <v>-13.897</v>
      </c>
      <c r="Q61" s="12">
        <v>0</v>
      </c>
      <c r="R61" s="12">
        <v>-1</v>
      </c>
    </row>
    <row r="62" ht="20.25" spans="1:18">
      <c r="A62" s="7" t="s">
        <v>1055</v>
      </c>
      <c r="B62" s="7" t="s">
        <v>1056</v>
      </c>
      <c r="C62" s="7">
        <v>3343.685</v>
      </c>
      <c r="D62" s="7">
        <v>3518.178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4.357</v>
      </c>
      <c r="K62" s="12">
        <v>2</v>
      </c>
      <c r="L62" s="12">
        <v>1</v>
      </c>
      <c r="M62" s="12">
        <v>0</v>
      </c>
      <c r="N62" s="12">
        <v>0</v>
      </c>
      <c r="O62" s="12">
        <v>0</v>
      </c>
      <c r="P62" s="12">
        <v>-0.282</v>
      </c>
      <c r="Q62" s="12">
        <v>0</v>
      </c>
      <c r="R62" s="12">
        <v>0</v>
      </c>
    </row>
    <row r="63" ht="20.25" spans="1:18">
      <c r="A63" s="7" t="s">
        <v>1057</v>
      </c>
      <c r="B63" s="7" t="s">
        <v>1058</v>
      </c>
      <c r="C63" s="7">
        <v>7397.639</v>
      </c>
      <c r="D63" s="7">
        <v>8311.901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3.299</v>
      </c>
      <c r="K63" s="12">
        <v>0</v>
      </c>
      <c r="L63" s="12">
        <v>2</v>
      </c>
      <c r="M63" s="12">
        <v>1</v>
      </c>
      <c r="N63" s="12">
        <v>-1</v>
      </c>
      <c r="O63" s="12">
        <v>0</v>
      </c>
      <c r="P63" s="12">
        <v>-9.12</v>
      </c>
      <c r="Q63" s="12">
        <v>0</v>
      </c>
      <c r="R63" s="12">
        <v>0</v>
      </c>
    </row>
    <row r="64" ht="20.25" spans="1:18">
      <c r="A64" s="7" t="s">
        <v>1059</v>
      </c>
      <c r="B64" s="7" t="s">
        <v>1060</v>
      </c>
      <c r="C64" s="7">
        <v>6602</v>
      </c>
      <c r="D64" s="7">
        <v>8109.302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16.293</v>
      </c>
      <c r="K64" s="12">
        <v>2</v>
      </c>
      <c r="L64" s="12">
        <v>1</v>
      </c>
      <c r="M64" s="12">
        <v>0</v>
      </c>
      <c r="N64" s="12">
        <v>1</v>
      </c>
      <c r="O64" s="12">
        <v>0</v>
      </c>
      <c r="P64" s="12">
        <v>25.114</v>
      </c>
      <c r="Q64" s="12">
        <v>0</v>
      </c>
      <c r="R64" s="12">
        <v>0</v>
      </c>
    </row>
    <row r="65" ht="20.25" spans="1:18">
      <c r="A65" s="7" t="s">
        <v>1061</v>
      </c>
      <c r="B65" s="7" t="s">
        <v>1062</v>
      </c>
      <c r="C65" s="7">
        <v>8937.364</v>
      </c>
      <c r="D65" s="7">
        <v>9906.052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0.861</v>
      </c>
      <c r="K65" s="12">
        <v>0</v>
      </c>
      <c r="L65" s="12">
        <v>1</v>
      </c>
      <c r="M65" s="12">
        <v>0</v>
      </c>
      <c r="N65" s="12">
        <v>0</v>
      </c>
      <c r="O65" s="12">
        <v>0</v>
      </c>
      <c r="P65" s="12">
        <v>5.093</v>
      </c>
      <c r="Q65" s="12">
        <v>0</v>
      </c>
      <c r="R65" s="12">
        <v>-1</v>
      </c>
    </row>
    <row r="66" ht="20.25" spans="1:18">
      <c r="A66" s="7" t="s">
        <v>1063</v>
      </c>
      <c r="B66" s="7" t="s">
        <v>1064</v>
      </c>
      <c r="C66" s="7">
        <v>18911.055</v>
      </c>
      <c r="D66" s="7">
        <v>20102.002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1.964</v>
      </c>
      <c r="K66" s="12">
        <v>0</v>
      </c>
      <c r="L66" s="12">
        <v>0</v>
      </c>
      <c r="M66" s="12">
        <v>0</v>
      </c>
      <c r="N66" s="12">
        <v>-1</v>
      </c>
      <c r="O66" s="12">
        <v>0</v>
      </c>
      <c r="P66" s="12">
        <v>-19.505</v>
      </c>
      <c r="Q66" s="12">
        <v>0</v>
      </c>
      <c r="R66" s="12">
        <v>0</v>
      </c>
    </row>
    <row r="67" ht="20.25" spans="1:18">
      <c r="A67" s="7" t="s">
        <v>1065</v>
      </c>
      <c r="B67" s="7" t="s">
        <v>1066</v>
      </c>
      <c r="C67" s="7">
        <v>2395.6</v>
      </c>
      <c r="D67" s="7">
        <v>3103.491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13.14</v>
      </c>
      <c r="K67" s="12">
        <v>2</v>
      </c>
      <c r="L67" s="12">
        <v>0</v>
      </c>
      <c r="M67" s="12">
        <v>1</v>
      </c>
      <c r="N67" s="12">
        <v>-1</v>
      </c>
      <c r="O67" s="12">
        <v>0</v>
      </c>
      <c r="P67" s="12">
        <v>1.476</v>
      </c>
      <c r="Q67" s="12">
        <v>0</v>
      </c>
      <c r="R67" s="12">
        <v>0</v>
      </c>
    </row>
    <row r="68" ht="20.25" spans="1:18">
      <c r="A68" s="7" t="s">
        <v>1067</v>
      </c>
      <c r="B68" s="7" t="s">
        <v>1068</v>
      </c>
      <c r="C68" s="7">
        <v>8365.927</v>
      </c>
      <c r="D68" s="7">
        <v>9496.939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9.528</v>
      </c>
      <c r="K68" s="12">
        <v>4</v>
      </c>
      <c r="L68" s="12">
        <v>0</v>
      </c>
      <c r="M68" s="12">
        <v>0</v>
      </c>
      <c r="N68" s="12">
        <v>0</v>
      </c>
      <c r="O68" s="12">
        <v>0</v>
      </c>
      <c r="P68" s="12">
        <v>-12.101</v>
      </c>
      <c r="Q68" s="12">
        <v>0</v>
      </c>
      <c r="R68" s="12">
        <v>0</v>
      </c>
    </row>
    <row r="69" ht="20.25" spans="1:18">
      <c r="A69" s="7" t="s">
        <v>1069</v>
      </c>
      <c r="B69" s="7" t="s">
        <v>1070</v>
      </c>
      <c r="C69" s="7">
        <v>7676.286</v>
      </c>
      <c r="D69" s="7">
        <v>8285.381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4.238</v>
      </c>
      <c r="K69" s="12">
        <v>2</v>
      </c>
      <c r="L69" s="12">
        <v>0</v>
      </c>
      <c r="M69" s="12">
        <v>0</v>
      </c>
      <c r="N69" s="12">
        <v>0</v>
      </c>
      <c r="O69" s="12">
        <v>0</v>
      </c>
      <c r="P69" s="12">
        <v>-8.637</v>
      </c>
      <c r="Q69" s="12">
        <v>0</v>
      </c>
      <c r="R69" s="12">
        <v>0</v>
      </c>
    </row>
    <row r="70" ht="20.25" spans="1:18">
      <c r="A70" s="7" t="s">
        <v>1071</v>
      </c>
      <c r="B70" s="7" t="s">
        <v>1072</v>
      </c>
      <c r="C70" s="7">
        <v>2242.509</v>
      </c>
      <c r="D70" s="7">
        <v>2821.127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19.91</v>
      </c>
      <c r="K70" s="12">
        <v>4</v>
      </c>
      <c r="L70" s="12">
        <v>0</v>
      </c>
      <c r="M70" s="12">
        <v>0</v>
      </c>
      <c r="N70" s="12">
        <v>0</v>
      </c>
      <c r="O70" s="12">
        <v>0</v>
      </c>
      <c r="P70" s="12">
        <v>-32.71</v>
      </c>
      <c r="Q70" s="12">
        <v>0</v>
      </c>
      <c r="R70" s="12">
        <v>0</v>
      </c>
    </row>
    <row r="71" ht="20.25" spans="1:18">
      <c r="A71" s="7" t="s">
        <v>1073</v>
      </c>
      <c r="B71" s="7" t="s">
        <v>1074</v>
      </c>
      <c r="C71" s="7">
        <v>2224.709</v>
      </c>
      <c r="D71" s="7">
        <v>2660.426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15.185</v>
      </c>
      <c r="K71" s="12">
        <v>0</v>
      </c>
      <c r="L71" s="12">
        <v>2</v>
      </c>
      <c r="M71" s="12">
        <v>0</v>
      </c>
      <c r="N71" s="12">
        <v>0</v>
      </c>
      <c r="O71" s="12">
        <v>0</v>
      </c>
      <c r="P71" s="12">
        <v>6.079</v>
      </c>
      <c r="Q71" s="12">
        <v>0</v>
      </c>
      <c r="R71" s="12">
        <v>0</v>
      </c>
    </row>
    <row r="72" ht="20.25" spans="1:18">
      <c r="A72" s="7" t="s">
        <v>1075</v>
      </c>
      <c r="B72" s="7" t="s">
        <v>1076</v>
      </c>
      <c r="C72" s="7">
        <v>5437.291</v>
      </c>
      <c r="D72" s="7">
        <v>6145.2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3.199</v>
      </c>
      <c r="K72" s="12">
        <v>1</v>
      </c>
      <c r="L72" s="12">
        <v>2</v>
      </c>
      <c r="M72" s="12">
        <v>0</v>
      </c>
      <c r="N72" s="12">
        <v>1</v>
      </c>
      <c r="O72" s="12">
        <v>0</v>
      </c>
      <c r="P72" s="12">
        <v>4.349</v>
      </c>
      <c r="Q72" s="12">
        <v>0</v>
      </c>
      <c r="R72" s="12">
        <v>0</v>
      </c>
    </row>
    <row r="73" ht="20.25" spans="1:18">
      <c r="A73" s="7" t="s">
        <v>1077</v>
      </c>
      <c r="B73" s="7" t="s">
        <v>1078</v>
      </c>
      <c r="C73" s="7">
        <v>6006.218</v>
      </c>
      <c r="D73" s="7">
        <v>7266.328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0.262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10.763</v>
      </c>
      <c r="Q73" s="12">
        <v>0</v>
      </c>
      <c r="R73" s="12">
        <v>0</v>
      </c>
    </row>
    <row r="74" ht="20.25" spans="1:18">
      <c r="A74" s="7" t="s">
        <v>1079</v>
      </c>
      <c r="B74" s="7" t="s">
        <v>1080</v>
      </c>
      <c r="C74" s="7">
        <v>5727.664</v>
      </c>
      <c r="D74" s="7">
        <v>6142.2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6.011</v>
      </c>
      <c r="K74" s="12">
        <v>4</v>
      </c>
      <c r="L74" s="12">
        <v>2</v>
      </c>
      <c r="M74" s="12">
        <v>-1</v>
      </c>
      <c r="N74" s="12">
        <v>1</v>
      </c>
      <c r="O74" s="12">
        <v>0</v>
      </c>
      <c r="P74" s="12">
        <v>3.421</v>
      </c>
      <c r="Q74" s="12">
        <v>0</v>
      </c>
      <c r="R74" s="12">
        <v>0</v>
      </c>
    </row>
    <row r="75" ht="20.25" spans="1:18">
      <c r="A75" s="7" t="s">
        <v>1081</v>
      </c>
      <c r="B75" s="7" t="s">
        <v>1082</v>
      </c>
      <c r="C75" s="7">
        <v>2972.018</v>
      </c>
      <c r="D75" s="7">
        <v>3698.927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2.557</v>
      </c>
      <c r="K75" s="12">
        <v>4</v>
      </c>
      <c r="L75" s="12">
        <v>1</v>
      </c>
      <c r="M75" s="12">
        <v>0</v>
      </c>
      <c r="N75" s="12">
        <v>0</v>
      </c>
      <c r="O75" s="12">
        <v>0</v>
      </c>
      <c r="P75" s="12">
        <v>-0.703</v>
      </c>
      <c r="Q75" s="12">
        <v>0</v>
      </c>
      <c r="R75" s="12">
        <v>-1</v>
      </c>
    </row>
    <row r="76" ht="20.25" spans="1:18">
      <c r="A76" s="7" t="s">
        <v>1083</v>
      </c>
      <c r="B76" s="7" t="s">
        <v>1084</v>
      </c>
      <c r="C76" s="7">
        <v>5126.737</v>
      </c>
      <c r="D76" s="7">
        <v>5984.894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0.239</v>
      </c>
      <c r="K76" s="12">
        <v>2</v>
      </c>
      <c r="L76" s="12">
        <v>1</v>
      </c>
      <c r="M76" s="12">
        <v>0</v>
      </c>
      <c r="N76" s="12">
        <v>0</v>
      </c>
      <c r="O76" s="12">
        <v>0</v>
      </c>
      <c r="P76" s="12">
        <v>-38.942</v>
      </c>
      <c r="Q76" s="12">
        <v>0</v>
      </c>
      <c r="R76" s="12">
        <v>0</v>
      </c>
    </row>
    <row r="77" ht="20.25" spans="1:18">
      <c r="A77" s="7" t="s">
        <v>1085</v>
      </c>
      <c r="B77" s="7" t="s">
        <v>1086</v>
      </c>
      <c r="C77" s="7">
        <v>5194.442</v>
      </c>
      <c r="D77" s="7">
        <v>6268.216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4.384</v>
      </c>
      <c r="K77" s="12">
        <v>3</v>
      </c>
      <c r="L77" s="12">
        <v>2</v>
      </c>
      <c r="M77" s="12">
        <v>1</v>
      </c>
      <c r="N77" s="12">
        <v>-1</v>
      </c>
      <c r="O77" s="12">
        <v>0</v>
      </c>
      <c r="P77" s="12">
        <v>-37.662</v>
      </c>
      <c r="Q77" s="12">
        <v>0</v>
      </c>
      <c r="R77" s="12">
        <v>0</v>
      </c>
    </row>
    <row r="78" ht="20.25" spans="1:18">
      <c r="A78" s="7" t="s">
        <v>1087</v>
      </c>
      <c r="B78" s="7" t="s">
        <v>1088</v>
      </c>
      <c r="C78" s="7">
        <v>106.877</v>
      </c>
      <c r="D78" s="7">
        <v>109.623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2.109</v>
      </c>
      <c r="K78" s="12">
        <v>3</v>
      </c>
      <c r="L78" s="12">
        <v>2</v>
      </c>
      <c r="M78" s="12">
        <v>-1</v>
      </c>
      <c r="N78" s="12">
        <v>1</v>
      </c>
      <c r="O78" s="12">
        <v>0</v>
      </c>
      <c r="P78" s="12">
        <v>0.025</v>
      </c>
      <c r="Q78" s="12">
        <v>1</v>
      </c>
      <c r="R78" s="12">
        <v>0</v>
      </c>
    </row>
    <row r="79" ht="20.25" spans="1:18">
      <c r="A79" s="7" t="s">
        <v>1089</v>
      </c>
      <c r="B79" s="7" t="s">
        <v>1090</v>
      </c>
      <c r="C79" s="7">
        <v>105.269</v>
      </c>
      <c r="D79" s="7">
        <v>107.169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1.137</v>
      </c>
      <c r="K79" s="12">
        <v>1</v>
      </c>
      <c r="L79" s="12">
        <v>2</v>
      </c>
      <c r="M79" s="12">
        <v>-1</v>
      </c>
      <c r="N79" s="12">
        <v>1</v>
      </c>
      <c r="O79" s="12">
        <v>0</v>
      </c>
      <c r="P79" s="12">
        <v>0.02</v>
      </c>
      <c r="Q79" s="12">
        <v>0</v>
      </c>
      <c r="R79" s="12">
        <v>0</v>
      </c>
    </row>
    <row r="80" ht="20.25" spans="1:18">
      <c r="A80" s="7" t="s">
        <v>1091</v>
      </c>
      <c r="B80" s="7" t="s">
        <v>1092</v>
      </c>
      <c r="C80" s="7">
        <v>112.995</v>
      </c>
      <c r="D80" s="7">
        <v>121.463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6.461</v>
      </c>
      <c r="K80" s="12">
        <v>3</v>
      </c>
      <c r="L80" s="12">
        <v>2</v>
      </c>
      <c r="M80" s="12">
        <v>-1</v>
      </c>
      <c r="N80" s="12">
        <v>1</v>
      </c>
      <c r="O80" s="12">
        <v>0</v>
      </c>
      <c r="P80" s="12">
        <v>0.011</v>
      </c>
      <c r="Q80" s="12">
        <v>0</v>
      </c>
      <c r="R80" s="12">
        <v>0</v>
      </c>
    </row>
    <row r="81" ht="20.25" spans="1:18">
      <c r="A81" s="7" t="s">
        <v>1093</v>
      </c>
      <c r="B81" s="7" t="s">
        <v>1094</v>
      </c>
      <c r="C81" s="7">
        <v>102.517</v>
      </c>
      <c r="D81" s="7">
        <v>103.464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0.155</v>
      </c>
      <c r="K81" s="12">
        <v>1</v>
      </c>
      <c r="L81" s="12">
        <v>2</v>
      </c>
      <c r="M81" s="12">
        <v>0</v>
      </c>
      <c r="N81" s="12">
        <v>1</v>
      </c>
      <c r="O81" s="12">
        <v>0</v>
      </c>
      <c r="P81" s="12">
        <v>0.007</v>
      </c>
      <c r="Q81" s="12">
        <v>0</v>
      </c>
      <c r="R81" s="12">
        <v>0</v>
      </c>
    </row>
    <row r="82" ht="20.25" spans="1:18">
      <c r="A82" s="8" t="s">
        <v>1095</v>
      </c>
      <c r="B82" s="8" t="s">
        <v>1096</v>
      </c>
      <c r="C82" s="8">
        <v>1551.113</v>
      </c>
      <c r="D82" s="8">
        <v>2907.637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17.713</v>
      </c>
      <c r="K82" s="12">
        <v>4</v>
      </c>
      <c r="L82" s="12">
        <v>0</v>
      </c>
      <c r="M82" s="12">
        <v>0</v>
      </c>
      <c r="N82" s="12">
        <v>1</v>
      </c>
      <c r="O82" s="12">
        <v>0</v>
      </c>
      <c r="P82" s="12">
        <v>4.465</v>
      </c>
      <c r="Q82" s="12">
        <v>0</v>
      </c>
      <c r="R82" s="12">
        <v>1</v>
      </c>
    </row>
    <row r="83" ht="20.25" spans="1:18">
      <c r="A83" s="8" t="s">
        <v>1097</v>
      </c>
      <c r="B83" s="8" t="s">
        <v>1098</v>
      </c>
      <c r="C83" s="8">
        <v>477.162</v>
      </c>
      <c r="D83" s="8">
        <v>591.312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0.571</v>
      </c>
      <c r="K83" s="12">
        <v>1</v>
      </c>
      <c r="L83" s="12">
        <v>0</v>
      </c>
      <c r="M83" s="12">
        <v>0</v>
      </c>
      <c r="N83" s="12">
        <v>0</v>
      </c>
      <c r="O83" s="12">
        <v>0</v>
      </c>
      <c r="P83" s="12">
        <v>-1.599</v>
      </c>
      <c r="Q83" s="12">
        <v>0</v>
      </c>
      <c r="R83" s="12">
        <v>0</v>
      </c>
    </row>
    <row r="84" ht="20.25" spans="1:18">
      <c r="A84" s="8" t="s">
        <v>1099</v>
      </c>
      <c r="B84" s="8" t="s">
        <v>1100</v>
      </c>
      <c r="C84" s="8">
        <v>41200.273</v>
      </c>
      <c r="D84" s="8">
        <v>45105.09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4.772</v>
      </c>
      <c r="K84" s="12">
        <v>0</v>
      </c>
      <c r="L84" s="12">
        <v>2</v>
      </c>
      <c r="M84" s="12">
        <v>0</v>
      </c>
      <c r="N84" s="12">
        <v>0</v>
      </c>
      <c r="O84" s="12">
        <v>0</v>
      </c>
      <c r="P84" s="12">
        <v>53.839</v>
      </c>
      <c r="Q84" s="12">
        <v>0</v>
      </c>
      <c r="R84" s="12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2025-04-07T16:47:21Z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44A68C769AFC4DF9B0D9338FB81D7F4E_13</vt:lpwstr>
  </property>
  <property fmtid="{D5CDD505-2E9C-101B-9397-08002B2CF9AE}" pid="3" name="KSOProductBuildVer">
    <vt:lpwstr>2052-12.1.0.15712</vt:lpwstr>
  </property>
</Properties>
</file>