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<sst xmlns="http://schemas.openxmlformats.org/spreadsheetml/2006/main" count="897" uniqueCount="824">
  <si>
    <t>京沪深强转弱</t>
  </si>
  <si>
    <t>京沪深弱转强</t>
  </si>
  <si>
    <t>代码</t>
  </si>
  <si>
    <t>简称</t>
  </si>
  <si>
    <t>总市值</t>
  </si>
  <si>
    <t>中证1000</t>
  </si>
  <si>
    <t>93133.72亿</t>
  </si>
  <si>
    <t>上证指数</t>
  </si>
  <si>
    <t>466916.16亿</t>
  </si>
  <si>
    <t>储能</t>
  </si>
  <si>
    <t>77187.52亿</t>
  </si>
  <si>
    <t>近期新高</t>
  </si>
  <si>
    <t>73743.78亿</t>
  </si>
  <si>
    <t>新综指</t>
  </si>
  <si>
    <t>463079.53亿</t>
  </si>
  <si>
    <t>芯片</t>
  </si>
  <si>
    <t>68289.55亿</t>
  </si>
  <si>
    <t>Ａ股指数</t>
  </si>
  <si>
    <t>462831.00亿</t>
  </si>
  <si>
    <t>氢能源</t>
  </si>
  <si>
    <t>64615.08亿</t>
  </si>
  <si>
    <t>深证综指</t>
  </si>
  <si>
    <t>274177.06亿</t>
  </si>
  <si>
    <t>锂电池概念</t>
  </si>
  <si>
    <t>58354.07亿</t>
  </si>
  <si>
    <t>深证成指</t>
  </si>
  <si>
    <t>高市净率</t>
  </si>
  <si>
    <t>57861.12亿</t>
  </si>
  <si>
    <t>非周期股</t>
  </si>
  <si>
    <t>273551.38亿</t>
  </si>
  <si>
    <t>光伏</t>
  </si>
  <si>
    <t>57058.86亿</t>
  </si>
  <si>
    <t>深证Ａ指</t>
  </si>
  <si>
    <t>235306.27亿</t>
  </si>
  <si>
    <t>科创50</t>
  </si>
  <si>
    <t>46097.56亿</t>
  </si>
  <si>
    <t>新指数</t>
  </si>
  <si>
    <t>231642.88亿</t>
  </si>
  <si>
    <t>绿色电力</t>
  </si>
  <si>
    <t>43529.46亿</t>
  </si>
  <si>
    <t>创业板综</t>
  </si>
  <si>
    <t>95729.65亿</t>
  </si>
  <si>
    <t>风电</t>
  </si>
  <si>
    <t>41917.57亿</t>
  </si>
  <si>
    <t>消费100</t>
  </si>
  <si>
    <t>94951.02亿</t>
  </si>
  <si>
    <t>大数据</t>
  </si>
  <si>
    <t>37349.64亿</t>
  </si>
  <si>
    <t>陆股通重仓</t>
  </si>
  <si>
    <t>94283.80亿</t>
  </si>
  <si>
    <t>白酒概念</t>
  </si>
  <si>
    <t>35296.32亿</t>
  </si>
  <si>
    <t>红利指数</t>
  </si>
  <si>
    <t>82042.92亿</t>
  </si>
  <si>
    <t>消费电子概念</t>
  </si>
  <si>
    <t>34925.10亿</t>
  </si>
  <si>
    <t>含可转债</t>
  </si>
  <si>
    <t>66298.45亿</t>
  </si>
  <si>
    <t>云计算</t>
  </si>
  <si>
    <t>34809.73亿</t>
  </si>
  <si>
    <t>上海板块</t>
  </si>
  <si>
    <t>64334.73亿</t>
  </si>
  <si>
    <t>医药</t>
  </si>
  <si>
    <t>33885.11亿</t>
  </si>
  <si>
    <t>全指信息</t>
  </si>
  <si>
    <t>58237.84亿</t>
  </si>
  <si>
    <t>连续亏损</t>
  </si>
  <si>
    <t>33579.89亿</t>
  </si>
  <si>
    <t>全指材料</t>
  </si>
  <si>
    <t>49222.59亿</t>
  </si>
  <si>
    <t>新材料</t>
  </si>
  <si>
    <t>32152.08亿</t>
  </si>
  <si>
    <t>广东板块</t>
  </si>
  <si>
    <t>45083.89亿</t>
  </si>
  <si>
    <t>高端装备</t>
  </si>
  <si>
    <t>30568.69亿</t>
  </si>
  <si>
    <t>电气设备</t>
  </si>
  <si>
    <t>40751.66亿</t>
  </si>
  <si>
    <t>数据中心</t>
  </si>
  <si>
    <t>29714.13亿</t>
  </si>
  <si>
    <t>创投概念</t>
  </si>
  <si>
    <t>37907.76亿</t>
  </si>
  <si>
    <t>化工</t>
  </si>
  <si>
    <t>29431.20亿</t>
  </si>
  <si>
    <t>QFII重仓</t>
  </si>
  <si>
    <t>37779.57亿</t>
  </si>
  <si>
    <t>智慧城市</t>
  </si>
  <si>
    <t>28692.31亿</t>
  </si>
  <si>
    <t>汽车电子</t>
  </si>
  <si>
    <t>32182.39亿</t>
  </si>
  <si>
    <t>充电桩</t>
  </si>
  <si>
    <t>28007.84亿</t>
  </si>
  <si>
    <t>汽车类</t>
  </si>
  <si>
    <t>31694.65亿</t>
  </si>
  <si>
    <t>固态电池</t>
  </si>
  <si>
    <t>27849.52亿</t>
  </si>
  <si>
    <t>山东板块</t>
  </si>
  <si>
    <t>31371.28亿</t>
  </si>
  <si>
    <t>区块链</t>
  </si>
  <si>
    <t>25847.93亿</t>
  </si>
  <si>
    <t>分拆上市预期</t>
  </si>
  <si>
    <t>30247.63亿</t>
  </si>
  <si>
    <t>页岩气</t>
  </si>
  <si>
    <t>24540.51亿</t>
  </si>
  <si>
    <t>石油</t>
  </si>
  <si>
    <t>25205.91亿</t>
  </si>
  <si>
    <t>保险新进</t>
  </si>
  <si>
    <t>24274.80亿</t>
  </si>
  <si>
    <t>雄安新区</t>
  </si>
  <si>
    <t>24263.95亿</t>
  </si>
  <si>
    <t>低价股</t>
  </si>
  <si>
    <t>24130.54亿</t>
  </si>
  <si>
    <t>养老金持股</t>
  </si>
  <si>
    <t>24188.09亿</t>
  </si>
  <si>
    <t>口罩防护</t>
  </si>
  <si>
    <t>24052.12亿</t>
  </si>
  <si>
    <t>参股金融</t>
  </si>
  <si>
    <t>23739.21亿</t>
  </si>
  <si>
    <t>燃料电池</t>
  </si>
  <si>
    <t>23433.46亿</t>
  </si>
  <si>
    <t>苹果概念</t>
  </si>
  <si>
    <t>22059.89亿</t>
  </si>
  <si>
    <t>乡村振兴</t>
  </si>
  <si>
    <t>23215.00亿</t>
  </si>
  <si>
    <t>社保新进</t>
  </si>
  <si>
    <t>21948.74亿</t>
  </si>
  <si>
    <t>四川板块</t>
  </si>
  <si>
    <t>22997.77亿</t>
  </si>
  <si>
    <t>贵州板块</t>
  </si>
  <si>
    <t>21838.31亿</t>
  </si>
  <si>
    <t>国产软件</t>
  </si>
  <si>
    <t>22417.62亿</t>
  </si>
  <si>
    <t>铁路基建</t>
  </si>
  <si>
    <t>18026.89亿</t>
  </si>
  <si>
    <t>创新药</t>
  </si>
  <si>
    <t>22262.04亿</t>
  </si>
  <si>
    <t>粤港澳</t>
  </si>
  <si>
    <t>17505.48亿</t>
  </si>
  <si>
    <t>数据要素</t>
  </si>
  <si>
    <t>22052.80亿</t>
  </si>
  <si>
    <t>液冷服务器</t>
  </si>
  <si>
    <t>16876.52亿</t>
  </si>
  <si>
    <t>PPP概念</t>
  </si>
  <si>
    <t>19960.38亿</t>
  </si>
  <si>
    <t>安徽板块</t>
  </si>
  <si>
    <t>16127.95亿</t>
  </si>
  <si>
    <t>软件服务</t>
  </si>
  <si>
    <t>19486.88亿</t>
  </si>
  <si>
    <t>黄金概念</t>
  </si>
  <si>
    <t>15798.37亿</t>
  </si>
  <si>
    <t>动力电池回收</t>
  </si>
  <si>
    <t>19471.89亿</t>
  </si>
  <si>
    <t>华为鸿蒙</t>
  </si>
  <si>
    <t>15301.40亿</t>
  </si>
  <si>
    <t>智能穿戴</t>
  </si>
  <si>
    <t>17429.89亿</t>
  </si>
  <si>
    <t>MCU芯片</t>
  </si>
  <si>
    <t>14875.15亿</t>
  </si>
  <si>
    <t>跨境电商</t>
  </si>
  <si>
    <t>17306.17亿</t>
  </si>
  <si>
    <t>食品饮料</t>
  </si>
  <si>
    <t>14213.02亿</t>
  </si>
  <si>
    <t>元宇宙概念</t>
  </si>
  <si>
    <t>17248.20亿</t>
  </si>
  <si>
    <t>重组股</t>
  </si>
  <si>
    <t>13115.25亿</t>
  </si>
  <si>
    <t>智能医疗</t>
  </si>
  <si>
    <t>17229.96亿</t>
  </si>
  <si>
    <t>特高压</t>
  </si>
  <si>
    <t>12811.49亿</t>
  </si>
  <si>
    <t>腾讯概念</t>
  </si>
  <si>
    <t>17183.28亿</t>
  </si>
  <si>
    <t>热泵概念</t>
  </si>
  <si>
    <t>12479.39亿</t>
  </si>
  <si>
    <t>破发行价</t>
  </si>
  <si>
    <t>16596.07亿</t>
  </si>
  <si>
    <t>陕西板块</t>
  </si>
  <si>
    <t>11891.55亿</t>
  </si>
  <si>
    <t>边缘计算</t>
  </si>
  <si>
    <t>16418.54亿</t>
  </si>
  <si>
    <t>量子科技</t>
  </si>
  <si>
    <t>11852.52亿</t>
  </si>
  <si>
    <t>股权转让</t>
  </si>
  <si>
    <t>16319.60亿</t>
  </si>
  <si>
    <t>毫米波雷达</t>
  </si>
  <si>
    <t>11817.97亿</t>
  </si>
  <si>
    <t>碳中和</t>
  </si>
  <si>
    <t>16187.05亿</t>
  </si>
  <si>
    <t>天津板块</t>
  </si>
  <si>
    <t>11084.89亿</t>
  </si>
  <si>
    <t>工业机械</t>
  </si>
  <si>
    <t>15705.62亿</t>
  </si>
  <si>
    <t>河北板块</t>
  </si>
  <si>
    <t>9557.70亿</t>
  </si>
  <si>
    <t>信息安全</t>
  </si>
  <si>
    <t>15693.91亿</t>
  </si>
  <si>
    <t>债转股AMC</t>
  </si>
  <si>
    <t>9183.21亿</t>
  </si>
  <si>
    <t>OLED概念</t>
  </si>
  <si>
    <t>15437.61亿</t>
  </si>
  <si>
    <t>免税概念</t>
  </si>
  <si>
    <t>8960.30亿</t>
  </si>
  <si>
    <t>超清视频</t>
  </si>
  <si>
    <t>15284.25亿</t>
  </si>
  <si>
    <t>磷概念</t>
  </si>
  <si>
    <t>8738.72亿</t>
  </si>
  <si>
    <t>机器视觉</t>
  </si>
  <si>
    <t>15144.33亿</t>
  </si>
  <si>
    <t>操作系统</t>
  </si>
  <si>
    <t>8533.63亿</t>
  </si>
  <si>
    <t>QFII新进</t>
  </si>
  <si>
    <t>14955.84亿</t>
  </si>
  <si>
    <t>新进指标股</t>
  </si>
  <si>
    <t>8038.37亿</t>
  </si>
  <si>
    <t>第三代半导体</t>
  </si>
  <si>
    <t>14040.94亿</t>
  </si>
  <si>
    <t>航空</t>
  </si>
  <si>
    <t>7919.75亿</t>
  </si>
  <si>
    <t>水利建设</t>
  </si>
  <si>
    <t>13755.00亿</t>
  </si>
  <si>
    <t>股权激励</t>
  </si>
  <si>
    <t>7469.10亿</t>
  </si>
  <si>
    <t>6G概念</t>
  </si>
  <si>
    <t>13753.13亿</t>
  </si>
  <si>
    <t>云南板块</t>
  </si>
  <si>
    <t>7439.59亿</t>
  </si>
  <si>
    <t>仿制药</t>
  </si>
  <si>
    <t>12984.33亿</t>
  </si>
  <si>
    <t>华为海思</t>
  </si>
  <si>
    <t>7047.92亿</t>
  </si>
  <si>
    <t>预制菜</t>
  </si>
  <si>
    <t>12958.89亿</t>
  </si>
  <si>
    <t>新疆板块</t>
  </si>
  <si>
    <t>7017.43亿</t>
  </si>
  <si>
    <t>新冠检测</t>
  </si>
  <si>
    <t>12721.36亿</t>
  </si>
  <si>
    <t>维生素</t>
  </si>
  <si>
    <t>6325.54亿</t>
  </si>
  <si>
    <t>湖南板块</t>
  </si>
  <si>
    <t>12704.54亿</t>
  </si>
  <si>
    <t>内蒙板块</t>
  </si>
  <si>
    <t>6236.30亿</t>
  </si>
  <si>
    <t>安防服务</t>
  </si>
  <si>
    <t>12465.00亿</t>
  </si>
  <si>
    <t>微盘股</t>
  </si>
  <si>
    <t>5663.63亿</t>
  </si>
  <si>
    <t>扣非亏损</t>
  </si>
  <si>
    <t>12392.11亿</t>
  </si>
  <si>
    <t>垃圾分类</t>
  </si>
  <si>
    <t>5602.85亿</t>
  </si>
  <si>
    <t>户数减少</t>
  </si>
  <si>
    <t>12316.68亿</t>
  </si>
  <si>
    <t>定增股</t>
  </si>
  <si>
    <t>5540.37亿</t>
  </si>
  <si>
    <t>光通信</t>
  </si>
  <si>
    <t>12201.57亿</t>
  </si>
  <si>
    <t>血氧仪</t>
  </si>
  <si>
    <t>5342.63亿</t>
  </si>
  <si>
    <t>汽车芯片</t>
  </si>
  <si>
    <t>12168.79亿</t>
  </si>
  <si>
    <t>海南自贸</t>
  </si>
  <si>
    <t>5284.32亿</t>
  </si>
  <si>
    <t>锂矿</t>
  </si>
  <si>
    <t>11876.69亿</t>
  </si>
  <si>
    <t>钴金属</t>
  </si>
  <si>
    <t>4751.28亿</t>
  </si>
  <si>
    <t>卫星导航</t>
  </si>
  <si>
    <t>11839.01亿</t>
  </si>
  <si>
    <t>租购同权</t>
  </si>
  <si>
    <t>4077.27亿</t>
  </si>
  <si>
    <t>AIGC概念</t>
  </si>
  <si>
    <t>11818.67亿</t>
  </si>
  <si>
    <t>地摊经济</t>
  </si>
  <si>
    <t>3838.20亿</t>
  </si>
  <si>
    <t>ChatGPT概念</t>
  </si>
  <si>
    <t>11814.91亿</t>
  </si>
  <si>
    <t>送转超跌</t>
  </si>
  <si>
    <t>3667.08亿</t>
  </si>
  <si>
    <t>湖北板块</t>
  </si>
  <si>
    <t>11685.19亿</t>
  </si>
  <si>
    <t>黑龙江</t>
  </si>
  <si>
    <t>3103.71亿</t>
  </si>
  <si>
    <t>超临界发电</t>
  </si>
  <si>
    <t>11290.86亿</t>
  </si>
  <si>
    <t>广西板块</t>
  </si>
  <si>
    <t>2678.28亿</t>
  </si>
  <si>
    <t>盐湖提锂</t>
  </si>
  <si>
    <t>10736.44亿</t>
  </si>
  <si>
    <t>EDA概念</t>
  </si>
  <si>
    <t>2564.69亿</t>
  </si>
  <si>
    <t>MiniLED</t>
  </si>
  <si>
    <t>10501.98亿</t>
  </si>
  <si>
    <t>时空大数据</t>
  </si>
  <si>
    <t>2207.95亿</t>
  </si>
  <si>
    <t>工业母机</t>
  </si>
  <si>
    <t>10027.07亿</t>
  </si>
  <si>
    <t>知识付费</t>
  </si>
  <si>
    <t>2142.79亿</t>
  </si>
  <si>
    <t>基因概念</t>
  </si>
  <si>
    <t>9970.21亿</t>
  </si>
  <si>
    <t>西藏板块</t>
  </si>
  <si>
    <t>2110.07亿</t>
  </si>
  <si>
    <t>存储芯片</t>
  </si>
  <si>
    <t>9810.41亿</t>
  </si>
  <si>
    <t>Sora概念</t>
  </si>
  <si>
    <t>2025.26亿</t>
  </si>
  <si>
    <t>装配式建筑</t>
  </si>
  <si>
    <t>9654.15亿</t>
  </si>
  <si>
    <t>宁夏板块</t>
  </si>
  <si>
    <t>1751.84亿</t>
  </si>
  <si>
    <t>虚拟电厂</t>
  </si>
  <si>
    <t>9447.18亿</t>
  </si>
  <si>
    <t>汽车拆解</t>
  </si>
  <si>
    <t>1427.84亿</t>
  </si>
  <si>
    <t>农林牧渔</t>
  </si>
  <si>
    <t>9343.74亿</t>
  </si>
  <si>
    <t>水务</t>
  </si>
  <si>
    <t>1282.89亿</t>
  </si>
  <si>
    <t>养老概念</t>
  </si>
  <si>
    <t>9193.35亿</t>
  </si>
  <si>
    <t>分散染料</t>
  </si>
  <si>
    <t>1049.41亿</t>
  </si>
  <si>
    <t>IT设备</t>
  </si>
  <si>
    <t>8991.80亿</t>
  </si>
  <si>
    <t>要约收购</t>
  </si>
  <si>
    <t>812.02亿</t>
  </si>
  <si>
    <t>抖音概念</t>
  </si>
  <si>
    <t>8976.61亿</t>
  </si>
  <si>
    <t>业绩预升</t>
  </si>
  <si>
    <t>145.02亿</t>
  </si>
  <si>
    <t>机构吸筹</t>
  </si>
  <si>
    <t>8848.00亿</t>
  </si>
  <si>
    <t>高铁产业</t>
  </si>
  <si>
    <t>--</t>
  </si>
  <si>
    <t>久不分红</t>
  </si>
  <si>
    <t>8537.71亿</t>
  </si>
  <si>
    <t>绿色建筑</t>
  </si>
  <si>
    <t>8464.63亿</t>
  </si>
  <si>
    <t>小盘价值</t>
  </si>
  <si>
    <t>重庆板块</t>
  </si>
  <si>
    <t>8436.02亿</t>
  </si>
  <si>
    <t>中盘价值</t>
  </si>
  <si>
    <t>中俄贸易</t>
  </si>
  <si>
    <t>8409.29亿</t>
  </si>
  <si>
    <t>大盘成长</t>
  </si>
  <si>
    <t>新型城镇</t>
  </si>
  <si>
    <t>8392.13亿</t>
  </si>
  <si>
    <t>国证成长</t>
  </si>
  <si>
    <t>体育概念</t>
  </si>
  <si>
    <t>7987.28亿</t>
  </si>
  <si>
    <t>深证成长</t>
  </si>
  <si>
    <t>稀土永磁</t>
  </si>
  <si>
    <t>7913.29亿</t>
  </si>
  <si>
    <t>深证治理</t>
  </si>
  <si>
    <t>微利股</t>
  </si>
  <si>
    <t>7846.32亿</t>
  </si>
  <si>
    <t>资源优势</t>
  </si>
  <si>
    <t>外资背景</t>
  </si>
  <si>
    <t>7803.07亿</t>
  </si>
  <si>
    <t>创成长</t>
  </si>
  <si>
    <t>钢铁</t>
  </si>
  <si>
    <t>7634.31亿</t>
  </si>
  <si>
    <t>创价值</t>
  </si>
  <si>
    <t>商业连锁</t>
  </si>
  <si>
    <t>7530.65亿</t>
  </si>
  <si>
    <t>创科技</t>
  </si>
  <si>
    <t>混合现实</t>
  </si>
  <si>
    <t>7135.33亿</t>
  </si>
  <si>
    <t>数字经济</t>
  </si>
  <si>
    <t>辽宁板块</t>
  </si>
  <si>
    <t>7102.50亿</t>
  </si>
  <si>
    <t>创业300</t>
  </si>
  <si>
    <t>江西板块</t>
  </si>
  <si>
    <t>6913.35亿</t>
  </si>
  <si>
    <t>沪股通</t>
  </si>
  <si>
    <t>建材</t>
  </si>
  <si>
    <t>6477.60亿</t>
  </si>
  <si>
    <t>高负债率</t>
  </si>
  <si>
    <t>6442.65亿</t>
  </si>
  <si>
    <t>光刻机</t>
  </si>
  <si>
    <t>6078.56亿</t>
  </si>
  <si>
    <t>3D打印</t>
  </si>
  <si>
    <t>5945.09亿</t>
  </si>
  <si>
    <t>聚氨酯</t>
  </si>
  <si>
    <t>5711.75亿</t>
  </si>
  <si>
    <t>电器仪表</t>
  </si>
  <si>
    <t>5630.28亿</t>
  </si>
  <si>
    <t>地下管网</t>
  </si>
  <si>
    <t>5553.00亿</t>
  </si>
  <si>
    <t>减速器</t>
  </si>
  <si>
    <t>5467.56亿</t>
  </si>
  <si>
    <t>职业教育</t>
  </si>
  <si>
    <t>5330.69亿</t>
  </si>
  <si>
    <t>纺织服饰</t>
  </si>
  <si>
    <t>5270.14亿</t>
  </si>
  <si>
    <t>环境保护</t>
  </si>
  <si>
    <t>5029.43亿</t>
  </si>
  <si>
    <t>工业软件</t>
  </si>
  <si>
    <t>4973.56亿</t>
  </si>
  <si>
    <t>辅助生殖</t>
  </si>
  <si>
    <t>4956.65亿</t>
  </si>
  <si>
    <t>高校背景</t>
  </si>
  <si>
    <t>4798.08亿</t>
  </si>
  <si>
    <t>碳纤维</t>
  </si>
  <si>
    <t>4587.32亿</t>
  </si>
  <si>
    <t>工业大麻</t>
  </si>
  <si>
    <t>4467.72亿</t>
  </si>
  <si>
    <t>NFT概念</t>
  </si>
  <si>
    <t>4445.75亿</t>
  </si>
  <si>
    <t>远程办公</t>
  </si>
  <si>
    <t>4439.23亿</t>
  </si>
  <si>
    <t>核污染防治</t>
  </si>
  <si>
    <t>4297.99亿</t>
  </si>
  <si>
    <t>网红经济</t>
  </si>
  <si>
    <t>4280.42亿</t>
  </si>
  <si>
    <t>一体压铸</t>
  </si>
  <si>
    <t>4156.90亿</t>
  </si>
  <si>
    <t>人脑工程</t>
  </si>
  <si>
    <t>4116.31亿</t>
  </si>
  <si>
    <t>化纤</t>
  </si>
  <si>
    <t>3963.25亿</t>
  </si>
  <si>
    <t>Web3概念</t>
  </si>
  <si>
    <t>3904.63亿</t>
  </si>
  <si>
    <t>氟概念</t>
  </si>
  <si>
    <t>3888.10亿</t>
  </si>
  <si>
    <t>高融资盘</t>
  </si>
  <si>
    <t>3843.18亿</t>
  </si>
  <si>
    <t>数据确权</t>
  </si>
  <si>
    <t>3722.20亿</t>
  </si>
  <si>
    <t>工业气体</t>
  </si>
  <si>
    <t>3194.81亿</t>
  </si>
  <si>
    <t>知识产权</t>
  </si>
  <si>
    <t>3078.37亿</t>
  </si>
  <si>
    <t>广告包装</t>
  </si>
  <si>
    <t>3065.96亿</t>
  </si>
  <si>
    <t>食品安全</t>
  </si>
  <si>
    <t>2890.66亿</t>
  </si>
  <si>
    <t>ETC概念</t>
  </si>
  <si>
    <t>2805.12亿</t>
  </si>
  <si>
    <t>海南板块</t>
  </si>
  <si>
    <t>2660.36亿</t>
  </si>
  <si>
    <t>商誉减值</t>
  </si>
  <si>
    <t>2632.15亿</t>
  </si>
  <si>
    <t>土地流转</t>
  </si>
  <si>
    <t>2557.93亿</t>
  </si>
  <si>
    <t>甘肃板块</t>
  </si>
  <si>
    <t>2434.97亿</t>
  </si>
  <si>
    <t>PVDF概念</t>
  </si>
  <si>
    <t>2386.89亿</t>
  </si>
  <si>
    <t>电子纸</t>
  </si>
  <si>
    <t>2354.53亿</t>
  </si>
  <si>
    <t>人造肉</t>
  </si>
  <si>
    <t>2271.84亿</t>
  </si>
  <si>
    <t>钛金属</t>
  </si>
  <si>
    <t>2270.02亿</t>
  </si>
  <si>
    <t>股东减持</t>
  </si>
  <si>
    <t>2116.91亿</t>
  </si>
  <si>
    <t>医废处理</t>
  </si>
  <si>
    <t>1854.96亿</t>
  </si>
  <si>
    <t>NMN概念</t>
  </si>
  <si>
    <t>1722.09亿</t>
  </si>
  <si>
    <t>地热能</t>
  </si>
  <si>
    <t>1696.58亿</t>
  </si>
  <si>
    <t>赛马概念</t>
  </si>
  <si>
    <t>1646.22亿</t>
  </si>
  <si>
    <t>草甘膦</t>
  </si>
  <si>
    <t>1411.01亿</t>
  </si>
  <si>
    <t>烟草概念</t>
  </si>
  <si>
    <t>1387.56亿</t>
  </si>
  <si>
    <t>培育钻石</t>
  </si>
  <si>
    <t>1341.53亿</t>
  </si>
  <si>
    <t>综合类</t>
  </si>
  <si>
    <t>885.55亿</t>
  </si>
  <si>
    <t>酒店餐饮</t>
  </si>
  <si>
    <t>636.44亿</t>
  </si>
  <si>
    <t>小盘成长</t>
  </si>
  <si>
    <t>中盘成长</t>
  </si>
  <si>
    <t>能源金属</t>
  </si>
  <si>
    <t>国证粮食</t>
  </si>
  <si>
    <t>在线消费</t>
  </si>
  <si>
    <t>创业200</t>
  </si>
  <si>
    <t>创业创新</t>
  </si>
  <si>
    <t>配股预案</t>
  </si>
  <si>
    <t>科创成长</t>
  </si>
  <si>
    <t>科创芯片</t>
  </si>
  <si>
    <t>科创信息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</si>
  <si>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</si>
  <si>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</si>
  <si>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</si>
  <si>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</si>
  <si>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</si>
  <si>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</si>
  <si>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</si>
  <si>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</si>
  <si>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</si>
  <si>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</si>
  <si>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</si>
  <si>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</si>
  <si>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</si>
  <si>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</si>
  <si>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</si>
  <si>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</si>
  <si>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</si>
  <si>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</si>
  <si>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</si>
  <si>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</si>
  <si>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Ｂ股指数</t>
  </si>
  <si>
    <t>商业指数</t>
  </si>
  <si>
    <t>地产指数</t>
  </si>
  <si>
    <t>上证180</t>
  </si>
  <si>
    <t>基金指数</t>
  </si>
  <si>
    <t>上证50</t>
  </si>
  <si>
    <t>治理指数</t>
  </si>
  <si>
    <t>180治理</t>
  </si>
  <si>
    <t>上证电信</t>
  </si>
  <si>
    <t>上证央企</t>
  </si>
  <si>
    <t>超大盘</t>
  </si>
  <si>
    <t>上证中盘</t>
  </si>
  <si>
    <t>上证全指</t>
  </si>
  <si>
    <t>责任指数</t>
  </si>
  <si>
    <t>上证民企</t>
  </si>
  <si>
    <t>50等权</t>
  </si>
  <si>
    <t>180等权</t>
  </si>
  <si>
    <t>上证地企</t>
  </si>
  <si>
    <t>全指价值</t>
  </si>
  <si>
    <t>上证沪企</t>
  </si>
  <si>
    <t>上证龙头</t>
  </si>
  <si>
    <t>上证新兴</t>
  </si>
  <si>
    <t>电信等权</t>
  </si>
  <si>
    <t>上证F200</t>
  </si>
  <si>
    <t>上证F500</t>
  </si>
  <si>
    <t>380金融</t>
  </si>
  <si>
    <t>180动态</t>
  </si>
  <si>
    <t>180稳定</t>
  </si>
  <si>
    <t>180波动</t>
  </si>
  <si>
    <t>180高贝</t>
  </si>
  <si>
    <t>消费领先</t>
  </si>
  <si>
    <t>市值百强</t>
  </si>
  <si>
    <t>沪互联+</t>
  </si>
  <si>
    <t>50AH优选</t>
  </si>
  <si>
    <t>新兴成指</t>
  </si>
  <si>
    <t>沪深300</t>
  </si>
  <si>
    <t>消费服务</t>
  </si>
  <si>
    <t>300高贝</t>
  </si>
  <si>
    <t>ESG 100</t>
  </si>
  <si>
    <t>百发100</t>
  </si>
  <si>
    <t>央视500</t>
  </si>
  <si>
    <t>中证100</t>
  </si>
  <si>
    <t>中证800</t>
  </si>
  <si>
    <t>300工业</t>
  </si>
  <si>
    <t>中证央企</t>
  </si>
  <si>
    <t>央企100</t>
  </si>
  <si>
    <t>800可选</t>
  </si>
  <si>
    <t>内地运输</t>
  </si>
  <si>
    <t>内地地产</t>
  </si>
  <si>
    <t>中证新兴</t>
  </si>
  <si>
    <t>基本200</t>
  </si>
  <si>
    <t>基本600</t>
  </si>
  <si>
    <t>300非周</t>
  </si>
  <si>
    <t>等权90</t>
  </si>
  <si>
    <t>中证超大</t>
  </si>
  <si>
    <t>300等权</t>
  </si>
  <si>
    <t>全指可选</t>
  </si>
  <si>
    <t>深成指R</t>
  </si>
  <si>
    <t>深证100R</t>
  </si>
  <si>
    <t>中小100</t>
  </si>
  <si>
    <t>创业板指</t>
  </si>
  <si>
    <t>深证300</t>
  </si>
  <si>
    <t>深证1000</t>
  </si>
  <si>
    <t>碳科技30</t>
  </si>
  <si>
    <t>创新引擎</t>
  </si>
  <si>
    <t>碳科技60</t>
  </si>
  <si>
    <t>深创100</t>
  </si>
  <si>
    <t>中小综指</t>
  </si>
  <si>
    <t>乐富指数</t>
  </si>
  <si>
    <t>深证Ｂ指</t>
  </si>
  <si>
    <t>批零指数</t>
  </si>
  <si>
    <t>IT指数</t>
  </si>
  <si>
    <t>商务指数</t>
  </si>
  <si>
    <t>绿色低碳</t>
  </si>
  <si>
    <t>创业低碳</t>
  </si>
  <si>
    <t>先进制造</t>
  </si>
  <si>
    <t>创业数字</t>
  </si>
  <si>
    <t>创新技术</t>
  </si>
  <si>
    <t>创新能源</t>
  </si>
  <si>
    <t>大数据50</t>
  </si>
  <si>
    <t>创业大盘</t>
  </si>
  <si>
    <t>深证ETF</t>
  </si>
  <si>
    <t>国证1000</t>
  </si>
  <si>
    <t>国证300</t>
  </si>
  <si>
    <t>巨潮100</t>
  </si>
  <si>
    <t>巨潮大盘</t>
  </si>
  <si>
    <t>国证Ａ指</t>
  </si>
  <si>
    <t>国证治理</t>
  </si>
  <si>
    <t>深证红利</t>
  </si>
  <si>
    <t>成长40</t>
  </si>
  <si>
    <t>深证100</t>
  </si>
  <si>
    <t>中小100R</t>
  </si>
  <si>
    <t>深证民营</t>
  </si>
  <si>
    <t>深证科技</t>
  </si>
  <si>
    <t>深证责任</t>
  </si>
  <si>
    <t>深证300R</t>
  </si>
  <si>
    <t>深证价值</t>
  </si>
  <si>
    <t>创新示范</t>
  </si>
  <si>
    <t>长三角</t>
  </si>
  <si>
    <t>环渤海</t>
  </si>
  <si>
    <t>国证环保</t>
  </si>
  <si>
    <t>民企100</t>
  </si>
  <si>
    <t>1000地产</t>
  </si>
  <si>
    <t>国证责任</t>
  </si>
  <si>
    <t>国证价值</t>
  </si>
  <si>
    <t>ESG 300</t>
  </si>
  <si>
    <t>国证基金</t>
  </si>
  <si>
    <t>国证ETF</t>
  </si>
  <si>
    <t>1000可选</t>
  </si>
  <si>
    <t>国证新兴</t>
  </si>
  <si>
    <t>国证地产</t>
  </si>
  <si>
    <t>中经GDP</t>
  </si>
  <si>
    <t>大中盘</t>
  </si>
  <si>
    <t>周期100</t>
  </si>
  <si>
    <t>大盘高贝</t>
  </si>
  <si>
    <t>中盘高贝</t>
  </si>
  <si>
    <t>国证新能</t>
  </si>
  <si>
    <t>I100</t>
  </si>
  <si>
    <t>新能源车</t>
  </si>
  <si>
    <t>中关村50</t>
  </si>
  <si>
    <t>智能汽车</t>
  </si>
  <si>
    <t>央视50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</si>
  <si>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</si>
  <si>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</si>
  <si>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</si>
  <si>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</si>
  <si>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</si>
  <si>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</si>
  <si>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</si>
  <si>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创业板R</t>
  </si>
  <si>
    <t>科技100</t>
  </si>
  <si>
    <t>中创100R</t>
  </si>
  <si>
    <t>中创100</t>
  </si>
  <si>
    <t>深证工业</t>
  </si>
  <si>
    <t>深证可选</t>
  </si>
  <si>
    <t>中创500</t>
  </si>
  <si>
    <t>中创成长</t>
  </si>
  <si>
    <t>中创价值</t>
  </si>
  <si>
    <t>1000成长</t>
  </si>
  <si>
    <t>中小等权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</si>
  <si>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</si>
  <si>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</si>
  <si>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</si>
  <si>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</si>
  <si>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</si>
  <si>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</si>
  <si>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</si>
  <si>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</si>
  <si>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</si>
  <si>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中小责任</t>
  </si>
  <si>
    <t>中创高新</t>
  </si>
  <si>
    <t>深证龙头</t>
  </si>
  <si>
    <t>深证低波</t>
  </si>
  <si>
    <t>创业成长</t>
  </si>
  <si>
    <t>创业板V</t>
  </si>
  <si>
    <t>深周期50</t>
  </si>
  <si>
    <t>创业板50</t>
  </si>
  <si>
    <t>深互联网</t>
  </si>
  <si>
    <t>深互联EW</t>
  </si>
  <si>
    <t>深成工业</t>
  </si>
  <si>
    <t>深成信息</t>
  </si>
  <si>
    <t>安防产业</t>
  </si>
  <si>
    <t>创业高贝</t>
  </si>
  <si>
    <t>深证F60</t>
  </si>
  <si>
    <t>深证F120</t>
  </si>
  <si>
    <t>深证F200</t>
  </si>
  <si>
    <t>深证中游</t>
  </si>
  <si>
    <t>深主板50</t>
  </si>
  <si>
    <t>深证50</t>
  </si>
  <si>
    <t>800地产</t>
  </si>
  <si>
    <t>300深市</t>
  </si>
  <si>
    <t>国企改革</t>
  </si>
  <si>
    <t>新能电池</t>
  </si>
  <si>
    <t>创业板指(港币)(CNH)</t>
  </si>
  <si>
    <t>创业板指(美元)(CNH)</t>
  </si>
  <si>
    <t>创业板R(港币)(CNH)</t>
  </si>
  <si>
    <t>创业板R(美元)(CNH)</t>
  </si>
  <si>
    <t>深证公用</t>
  </si>
  <si>
    <t>深成公用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</si>
  <si>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</si>
  <si>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</si>
  <si>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</si>
  <si>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</si>
  <si>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</si>
  <si>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</si>
  <si>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</si>
  <si>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上证金融</t>
  </si>
  <si>
    <t>50基本</t>
  </si>
  <si>
    <t>180基本</t>
  </si>
  <si>
    <t>上证海外</t>
  </si>
  <si>
    <t>全R价值</t>
  </si>
  <si>
    <t>沪企债30</t>
  </si>
  <si>
    <t>上证周期</t>
  </si>
  <si>
    <t>金融等权</t>
  </si>
  <si>
    <t>5年信用</t>
  </si>
  <si>
    <t>信用100</t>
  </si>
  <si>
    <t>上证银行</t>
  </si>
  <si>
    <t>180红利</t>
  </si>
  <si>
    <t>300非银</t>
  </si>
  <si>
    <t>上海国企</t>
  </si>
  <si>
    <t>300可选</t>
  </si>
  <si>
    <t>300金融</t>
  </si>
  <si>
    <t>300价值</t>
  </si>
  <si>
    <t>公司债指</t>
  </si>
  <si>
    <t>基本面50</t>
  </si>
  <si>
    <t>中证金融</t>
  </si>
  <si>
    <t>银河99</t>
  </si>
  <si>
    <t>800金融</t>
  </si>
  <si>
    <t>全指金融</t>
  </si>
  <si>
    <t>运输指数</t>
  </si>
  <si>
    <t>金融指数</t>
  </si>
  <si>
    <t>区块链50</t>
  </si>
  <si>
    <t>碳中和债</t>
  </si>
  <si>
    <t>深信中高</t>
  </si>
  <si>
    <t>深信中低</t>
  </si>
  <si>
    <t>深信用债</t>
  </si>
  <si>
    <t>深公司债</t>
  </si>
  <si>
    <t>国证A50</t>
  </si>
  <si>
    <t>国证Ｂ指</t>
  </si>
  <si>
    <t>国证红利</t>
  </si>
  <si>
    <t>深企综指</t>
  </si>
  <si>
    <t>珠三角</t>
  </si>
  <si>
    <t>大盘价值</t>
  </si>
  <si>
    <t>1000金融</t>
  </si>
  <si>
    <t>大盘低波</t>
  </si>
  <si>
    <t>国证保证</t>
  </si>
  <si>
    <t>专利领先</t>
  </si>
  <si>
    <t>国证银行</t>
  </si>
  <si>
    <t>证券龙头</t>
  </si>
  <si>
    <t>深证金融</t>
  </si>
  <si>
    <t>深成可选</t>
  </si>
  <si>
    <t>深成金融</t>
  </si>
  <si>
    <t>金融科技</t>
  </si>
  <si>
    <t>CSSW证券</t>
  </si>
  <si>
    <t>互联金融</t>
  </si>
  <si>
    <t>保险主题</t>
  </si>
  <si>
    <t>300 金融</t>
  </si>
  <si>
    <t>800非银</t>
  </si>
  <si>
    <t>证券公司</t>
  </si>
  <si>
    <t>中证银行</t>
  </si>
  <si>
    <t>湾创100</t>
  </si>
  <si>
    <t>湾创100R</t>
  </si>
  <si>
    <t>中证下游</t>
  </si>
  <si>
    <t>【数据引擎：奇衡DK阿赖耶识系统】情绪值</t>
  </si>
  <si>
    <t>ZN00</t>
  </si>
  <si>
    <t>沪锌连续</t>
  </si>
  <si>
    <t>IC00</t>
  </si>
  <si>
    <t>500股指连续</t>
  </si>
  <si>
    <t>IM00</t>
  </si>
  <si>
    <t>1000股指连续</t>
  </si>
  <si>
    <t>SS00</t>
  </si>
  <si>
    <t>不锈钢连续</t>
  </si>
  <si>
    <t>PG00</t>
  </si>
  <si>
    <t>液化气连续</t>
  </si>
  <si>
    <t>V00</t>
  </si>
  <si>
    <t>聚氯乙烯连续</t>
  </si>
  <si>
    <t>CJ00</t>
  </si>
  <si>
    <t>红枣连续</t>
  </si>
  <si>
    <t>SA00</t>
  </si>
  <si>
    <t>纯碱连续</t>
  </si>
  <si>
    <t>SF00</t>
  </si>
  <si>
    <t>硅铁连续</t>
  </si>
  <si>
    <t>UR00</t>
  </si>
  <si>
    <t>尿素连续</t>
  </si>
  <si>
    <t>EC00</t>
  </si>
  <si>
    <t>欧线连续</t>
  </si>
  <si>
    <t>SI00</t>
  </si>
  <si>
    <t>工业硅连续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</si>
  <si>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</si>
  <si>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</si>
  <si>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</si>
  <si>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</si>
  <si>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</si>
  <si>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</si>
  <si>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</si>
  <si>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</si>
  <si>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</si>
  <si>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</si>
  <si>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IF00</t>
  </si>
  <si>
    <t>300股指连续</t>
  </si>
  <si>
    <t>IH00</t>
  </si>
  <si>
    <t>50股指连续</t>
  </si>
  <si>
    <t>TS00</t>
  </si>
  <si>
    <t>2年国债连续</t>
  </si>
  <si>
    <t>NR00</t>
  </si>
  <si>
    <t>20号胶连续</t>
  </si>
  <si>
    <t>ZC00</t>
  </si>
  <si>
    <t>动力煤连续</t>
  </si>
  <si>
    <t>BUX00</t>
  </si>
  <si>
    <t>沥青连续</t>
  </si>
  <si>
    <t>FU00</t>
  </si>
  <si>
    <t>燃油连续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</si>
  <si>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</si>
  <si>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</si>
  <si>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</si>
  <si>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</si>
  <si>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</si>
  <si>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</si>
  <si>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</si>
  <si>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</si>
  <si>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</si>
  <si>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</si>
  <si>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FG00</t>
  </si>
  <si>
    <t>玻璃连续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</si>
  <si>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</si>
  <si>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</si>
  <si>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</si>
  <si>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</si>
  <si>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</si>
  <si>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</si>
  <si>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</si>
  <si>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</si>
  <si>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SM00</t>
  </si>
  <si>
    <t>锰硅连续</t>
  </si>
  <si>
    <t>TA00</t>
  </si>
  <si>
    <t>PTA连续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</si>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</sst>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160"/>
    </sheetView>
  </sheetViews>
  <sheetFormatPr defaultColWidth="9" defaultRowHeight="22.5" outlineLevelCol="5"/>
  <cols>
    <col min="1" max="1" width="10.75" style="29" customWidth="1"/>
    <col min="2" max="2" width="18.625" style="29" customWidth="1"/>
    <col min="3" max="3" width="17.625" style="29" customWidth="1"/>
    <col min="4" max="4" width="10.75" style="29" customWidth="1"/>
    <col min="5" max="5" width="12.375" style="29" customWidth="1"/>
    <col min="6" max="6" width="17.6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"000852"</f>
        <v>000852</v>
      </c>
      <c r="B3" s="34" t="s">
        <v>5</v>
      </c>
      <c r="C3" s="34" t="s">
        <v>6</v>
      </c>
      <c r="D3" s="34" t="str">
        <f>"000001"</f>
        <v>000001</v>
      </c>
      <c r="E3" s="34" t="s">
        <v>7</v>
      </c>
      <c r="F3" s="34" t="s">
        <v>8</v>
      </c>
    </row>
    <row r="4" ht="16.5" spans="1:6">
      <c r="A4" s="34" t="str">
        <f>"880730"</f>
        <v>880730</v>
      </c>
      <c r="B4" s="34" t="s">
        <v>9</v>
      </c>
      <c r="C4" s="34" t="s">
        <v>10</v>
      </c>
      <c r="D4" s="34" t="str">
        <f>"999999"</f>
        <v>999999</v>
      </c>
      <c r="E4" s="34" t="s">
        <v>7</v>
      </c>
      <c r="F4" s="34" t="s">
        <v>8</v>
      </c>
    </row>
    <row r="5" ht="16.5" spans="1:6">
      <c r="A5" s="34" t="str">
        <f>"880865"</f>
        <v>880865</v>
      </c>
      <c r="B5" s="34" t="s">
        <v>11</v>
      </c>
      <c r="C5" s="34" t="s">
        <v>12</v>
      </c>
      <c r="D5" s="34" t="str">
        <f>"000017"</f>
        <v>000017</v>
      </c>
      <c r="E5" s="34" t="s">
        <v>13</v>
      </c>
      <c r="F5" s="34" t="s">
        <v>14</v>
      </c>
    </row>
    <row r="6" ht="16.5" spans="1:6">
      <c r="A6" s="34" t="str">
        <f>"880952"</f>
        <v>880952</v>
      </c>
      <c r="B6" s="34" t="s">
        <v>15</v>
      </c>
      <c r="C6" s="34" t="s">
        <v>16</v>
      </c>
      <c r="D6" s="34" t="str">
        <f>"000002"</f>
        <v>000002</v>
      </c>
      <c r="E6" s="34" t="s">
        <v>17</v>
      </c>
      <c r="F6" s="34" t="s">
        <v>18</v>
      </c>
    </row>
    <row r="7" ht="16.5" spans="1:6">
      <c r="A7" s="34" t="str">
        <f>"880705"</f>
        <v>880705</v>
      </c>
      <c r="B7" s="34" t="s">
        <v>19</v>
      </c>
      <c r="C7" s="34" t="s">
        <v>20</v>
      </c>
      <c r="D7" s="34" t="str">
        <f>"399106"</f>
        <v>399106</v>
      </c>
      <c r="E7" s="34" t="s">
        <v>21</v>
      </c>
      <c r="F7" s="34" t="s">
        <v>22</v>
      </c>
    </row>
    <row r="8" ht="16.5" spans="1:6">
      <c r="A8" s="34" t="str">
        <f>"880534"</f>
        <v>880534</v>
      </c>
      <c r="B8" s="34" t="s">
        <v>23</v>
      </c>
      <c r="C8" s="34" t="s">
        <v>24</v>
      </c>
      <c r="D8" s="34" t="str">
        <f>"399001"</f>
        <v>399001</v>
      </c>
      <c r="E8" s="34" t="s">
        <v>25</v>
      </c>
      <c r="F8" s="34" t="s">
        <v>22</v>
      </c>
    </row>
    <row r="9" ht="16.5" spans="1:6">
      <c r="A9" s="34" t="str">
        <f>"880827"</f>
        <v>880827</v>
      </c>
      <c r="B9" s="34" t="s">
        <v>26</v>
      </c>
      <c r="C9" s="34" t="s">
        <v>27</v>
      </c>
      <c r="D9" s="34" t="str">
        <f>"880680"</f>
        <v>880680</v>
      </c>
      <c r="E9" s="34" t="s">
        <v>28</v>
      </c>
      <c r="F9" s="34" t="s">
        <v>29</v>
      </c>
    </row>
    <row r="10" ht="16.5" spans="1:6">
      <c r="A10" s="34" t="str">
        <f>"880544"</f>
        <v>880544</v>
      </c>
      <c r="B10" s="34" t="s">
        <v>30</v>
      </c>
      <c r="C10" s="34" t="s">
        <v>31</v>
      </c>
      <c r="D10" s="34" t="str">
        <f>"399107"</f>
        <v>399107</v>
      </c>
      <c r="E10" s="34" t="s">
        <v>32</v>
      </c>
      <c r="F10" s="34" t="s">
        <v>33</v>
      </c>
    </row>
    <row r="11" ht="16.5" spans="1:6">
      <c r="A11" s="34" t="str">
        <f>"000688"</f>
        <v>000688</v>
      </c>
      <c r="B11" s="34" t="s">
        <v>34</v>
      </c>
      <c r="C11" s="34" t="s">
        <v>35</v>
      </c>
      <c r="D11" s="34" t="str">
        <f>"399100"</f>
        <v>399100</v>
      </c>
      <c r="E11" s="34" t="s">
        <v>36</v>
      </c>
      <c r="F11" s="34" t="s">
        <v>37</v>
      </c>
    </row>
    <row r="12" ht="16.5" spans="1:6">
      <c r="A12" s="34" t="str">
        <f>"880753"</f>
        <v>880753</v>
      </c>
      <c r="B12" s="34" t="s">
        <v>38</v>
      </c>
      <c r="C12" s="34" t="s">
        <v>39</v>
      </c>
      <c r="D12" s="34" t="str">
        <f>"399102"</f>
        <v>399102</v>
      </c>
      <c r="E12" s="34" t="s">
        <v>40</v>
      </c>
      <c r="F12" s="34" t="s">
        <v>41</v>
      </c>
    </row>
    <row r="13" ht="16.5" spans="1:6">
      <c r="A13" s="34" t="str">
        <f>"880582"</f>
        <v>880582</v>
      </c>
      <c r="B13" s="34" t="s">
        <v>42</v>
      </c>
      <c r="C13" s="34" t="s">
        <v>43</v>
      </c>
      <c r="D13" s="34" t="str">
        <f>"399364"</f>
        <v>399364</v>
      </c>
      <c r="E13" s="34" t="s">
        <v>44</v>
      </c>
      <c r="F13" s="34" t="s">
        <v>45</v>
      </c>
    </row>
    <row r="14" ht="16.5" spans="1:6">
      <c r="A14" s="34" t="str">
        <f>"880954"</f>
        <v>880954</v>
      </c>
      <c r="B14" s="34" t="s">
        <v>46</v>
      </c>
      <c r="C14" s="34" t="s">
        <v>47</v>
      </c>
      <c r="D14" s="34" t="str">
        <f>"880678"</f>
        <v>880678</v>
      </c>
      <c r="E14" s="34" t="s">
        <v>48</v>
      </c>
      <c r="F14" s="34" t="s">
        <v>49</v>
      </c>
    </row>
    <row r="15" ht="16.5" spans="1:6">
      <c r="A15" s="34" t="str">
        <f>"880564"</f>
        <v>880564</v>
      </c>
      <c r="B15" s="34" t="s">
        <v>50</v>
      </c>
      <c r="C15" s="34" t="s">
        <v>51</v>
      </c>
      <c r="D15" s="34" t="str">
        <f>"000015"</f>
        <v>000015</v>
      </c>
      <c r="E15" s="34" t="s">
        <v>52</v>
      </c>
      <c r="F15" s="34" t="s">
        <v>53</v>
      </c>
    </row>
    <row r="16" ht="16.5" spans="1:6">
      <c r="A16" s="34" t="str">
        <f>"880966"</f>
        <v>880966</v>
      </c>
      <c r="B16" s="34" t="s">
        <v>54</v>
      </c>
      <c r="C16" s="34" t="s">
        <v>55</v>
      </c>
      <c r="D16" s="34" t="str">
        <f>"880524"</f>
        <v>880524</v>
      </c>
      <c r="E16" s="34" t="s">
        <v>56</v>
      </c>
      <c r="F16" s="34" t="s">
        <v>57</v>
      </c>
    </row>
    <row r="17" ht="16.5" spans="1:6">
      <c r="A17" s="34" t="str">
        <f>"880545"</f>
        <v>880545</v>
      </c>
      <c r="B17" s="34" t="s">
        <v>58</v>
      </c>
      <c r="C17" s="34" t="s">
        <v>59</v>
      </c>
      <c r="D17" s="34" t="str">
        <f>"880216"</f>
        <v>880216</v>
      </c>
      <c r="E17" s="34" t="s">
        <v>60</v>
      </c>
      <c r="F17" s="34" t="s">
        <v>61</v>
      </c>
    </row>
    <row r="18" ht="16.5" spans="1:6">
      <c r="A18" s="34" t="str">
        <f>"880400"</f>
        <v>880400</v>
      </c>
      <c r="B18" s="34" t="s">
        <v>62</v>
      </c>
      <c r="C18" s="34" t="s">
        <v>63</v>
      </c>
      <c r="D18" s="34" t="str">
        <f>"000993"</f>
        <v>000993</v>
      </c>
      <c r="E18" s="34" t="s">
        <v>64</v>
      </c>
      <c r="F18" s="34" t="s">
        <v>65</v>
      </c>
    </row>
    <row r="19" ht="16.5" spans="1:6">
      <c r="A19" s="34" t="str">
        <f>"880861"</f>
        <v>880861</v>
      </c>
      <c r="B19" s="34" t="s">
        <v>66</v>
      </c>
      <c r="C19" s="34" t="s">
        <v>67</v>
      </c>
      <c r="D19" s="34" t="str">
        <f>"000987"</f>
        <v>000987</v>
      </c>
      <c r="E19" s="34" t="s">
        <v>68</v>
      </c>
      <c r="F19" s="34" t="s">
        <v>69</v>
      </c>
    </row>
    <row r="20" ht="16.5" spans="1:6">
      <c r="A20" s="34" t="str">
        <f>"880731"</f>
        <v>880731</v>
      </c>
      <c r="B20" s="34" t="s">
        <v>70</v>
      </c>
      <c r="C20" s="34" t="s">
        <v>71</v>
      </c>
      <c r="D20" s="34" t="str">
        <f>"880212"</f>
        <v>880212</v>
      </c>
      <c r="E20" s="34" t="s">
        <v>72</v>
      </c>
      <c r="F20" s="34" t="s">
        <v>73</v>
      </c>
    </row>
    <row r="21" ht="16.5" spans="1:6">
      <c r="A21" s="34" t="str">
        <f>"880560"</f>
        <v>880560</v>
      </c>
      <c r="B21" s="34" t="s">
        <v>74</v>
      </c>
      <c r="C21" s="34" t="s">
        <v>75</v>
      </c>
      <c r="D21" s="34" t="str">
        <f>"880446"</f>
        <v>880446</v>
      </c>
      <c r="E21" s="34" t="s">
        <v>76</v>
      </c>
      <c r="F21" s="34" t="s">
        <v>77</v>
      </c>
    </row>
    <row r="22" ht="16.5" spans="1:6">
      <c r="A22" s="34" t="str">
        <f>"880799"</f>
        <v>880799</v>
      </c>
      <c r="B22" s="34" t="s">
        <v>78</v>
      </c>
      <c r="C22" s="34" t="s">
        <v>79</v>
      </c>
      <c r="D22" s="34" t="str">
        <f>"880540"</f>
        <v>880540</v>
      </c>
      <c r="E22" s="34" t="s">
        <v>80</v>
      </c>
      <c r="F22" s="34" t="s">
        <v>81</v>
      </c>
    </row>
    <row r="23" ht="16.5" spans="1:6">
      <c r="A23" s="34" t="str">
        <f>"880335"</f>
        <v>880335</v>
      </c>
      <c r="B23" s="34" t="s">
        <v>82</v>
      </c>
      <c r="C23" s="34" t="s">
        <v>83</v>
      </c>
      <c r="D23" s="34" t="str">
        <f>"880802"</f>
        <v>880802</v>
      </c>
      <c r="E23" s="34" t="s">
        <v>84</v>
      </c>
      <c r="F23" s="34" t="s">
        <v>85</v>
      </c>
    </row>
    <row r="24" ht="16.5" spans="1:6">
      <c r="A24" s="34" t="str">
        <f>"880949"</f>
        <v>880949</v>
      </c>
      <c r="B24" s="34" t="s">
        <v>86</v>
      </c>
      <c r="C24" s="34" t="s">
        <v>87</v>
      </c>
      <c r="D24" s="34" t="str">
        <f>"880930"</f>
        <v>880930</v>
      </c>
      <c r="E24" s="34" t="s">
        <v>88</v>
      </c>
      <c r="F24" s="34" t="s">
        <v>89</v>
      </c>
    </row>
    <row r="25" ht="16.5" spans="1:6">
      <c r="A25" s="34" t="str">
        <f>"880583"</f>
        <v>880583</v>
      </c>
      <c r="B25" s="34" t="s">
        <v>90</v>
      </c>
      <c r="C25" s="34" t="s">
        <v>91</v>
      </c>
      <c r="D25" s="34" t="str">
        <f>"880390"</f>
        <v>880390</v>
      </c>
      <c r="E25" s="34" t="s">
        <v>92</v>
      </c>
      <c r="F25" s="34" t="s">
        <v>93</v>
      </c>
    </row>
    <row r="26" ht="16.5" spans="1:6">
      <c r="A26" s="34" t="str">
        <f>"880742"</f>
        <v>880742</v>
      </c>
      <c r="B26" s="34" t="s">
        <v>94</v>
      </c>
      <c r="C26" s="34" t="s">
        <v>95</v>
      </c>
      <c r="D26" s="34" t="str">
        <f>"880215"</f>
        <v>880215</v>
      </c>
      <c r="E26" s="34" t="s">
        <v>96</v>
      </c>
      <c r="F26" s="34" t="s">
        <v>97</v>
      </c>
    </row>
    <row r="27" ht="16.5" spans="1:6">
      <c r="A27" s="34" t="str">
        <f>"880946"</f>
        <v>880946</v>
      </c>
      <c r="B27" s="34" t="s">
        <v>98</v>
      </c>
      <c r="C27" s="34" t="s">
        <v>99</v>
      </c>
      <c r="D27" s="34" t="str">
        <f>"880970"</f>
        <v>880970</v>
      </c>
      <c r="E27" s="34" t="s">
        <v>100</v>
      </c>
      <c r="F27" s="34" t="s">
        <v>101</v>
      </c>
    </row>
    <row r="28" ht="16.5" spans="1:6">
      <c r="A28" s="34" t="str">
        <f>"880553"</f>
        <v>880553</v>
      </c>
      <c r="B28" s="34" t="s">
        <v>102</v>
      </c>
      <c r="C28" s="34" t="s">
        <v>103</v>
      </c>
      <c r="D28" s="34" t="str">
        <f>"880310"</f>
        <v>880310</v>
      </c>
      <c r="E28" s="34" t="s">
        <v>104</v>
      </c>
      <c r="F28" s="34" t="s">
        <v>105</v>
      </c>
    </row>
    <row r="29" ht="16.5" spans="1:6">
      <c r="A29" s="34" t="str">
        <f>"880782"</f>
        <v>880782</v>
      </c>
      <c r="B29" s="34" t="s">
        <v>106</v>
      </c>
      <c r="C29" s="34" t="s">
        <v>107</v>
      </c>
      <c r="D29" s="34" t="str">
        <f>"880911"</f>
        <v>880911</v>
      </c>
      <c r="E29" s="34" t="s">
        <v>108</v>
      </c>
      <c r="F29" s="34" t="s">
        <v>109</v>
      </c>
    </row>
    <row r="30" ht="16.5" spans="1:6">
      <c r="A30" s="34" t="str">
        <f>"880879"</f>
        <v>880879</v>
      </c>
      <c r="B30" s="34" t="s">
        <v>110</v>
      </c>
      <c r="C30" s="34" t="s">
        <v>111</v>
      </c>
      <c r="D30" s="34" t="str">
        <f>"880894"</f>
        <v>880894</v>
      </c>
      <c r="E30" s="34" t="s">
        <v>112</v>
      </c>
      <c r="F30" s="34" t="s">
        <v>113</v>
      </c>
    </row>
    <row r="31" ht="16.5" spans="1:6">
      <c r="A31" s="34" t="str">
        <f>"880795"</f>
        <v>880795</v>
      </c>
      <c r="B31" s="34" t="s">
        <v>114</v>
      </c>
      <c r="C31" s="34" t="s">
        <v>115</v>
      </c>
      <c r="D31" s="34" t="str">
        <f>"880538"</f>
        <v>880538</v>
      </c>
      <c r="E31" s="34" t="s">
        <v>116</v>
      </c>
      <c r="F31" s="34" t="s">
        <v>117</v>
      </c>
    </row>
    <row r="32" ht="16.5" spans="1:6">
      <c r="A32" s="34" t="str">
        <f>"880909"</f>
        <v>880909</v>
      </c>
      <c r="B32" s="34" t="s">
        <v>118</v>
      </c>
      <c r="C32" s="34" t="s">
        <v>119</v>
      </c>
      <c r="D32" s="34" t="str">
        <f>"880574"</f>
        <v>880574</v>
      </c>
      <c r="E32" s="34" t="s">
        <v>120</v>
      </c>
      <c r="F32" s="34" t="s">
        <v>121</v>
      </c>
    </row>
    <row r="33" ht="16.5" spans="1:6">
      <c r="A33" s="34" t="str">
        <f>"880955"</f>
        <v>880955</v>
      </c>
      <c r="B33" s="34" t="s">
        <v>122</v>
      </c>
      <c r="C33" s="34" t="s">
        <v>123</v>
      </c>
      <c r="D33" s="34" t="str">
        <f>"880783"</f>
        <v>880783</v>
      </c>
      <c r="E33" s="34" t="s">
        <v>124</v>
      </c>
      <c r="F33" s="34" t="s">
        <v>125</v>
      </c>
    </row>
    <row r="34" ht="16.5" spans="1:6">
      <c r="A34" s="34" t="str">
        <f>"880223"</f>
        <v>880223</v>
      </c>
      <c r="B34" s="34" t="s">
        <v>126</v>
      </c>
      <c r="C34" s="34" t="s">
        <v>127</v>
      </c>
      <c r="D34" s="34" t="str">
        <f>"880229"</f>
        <v>880229</v>
      </c>
      <c r="E34" s="34" t="s">
        <v>128</v>
      </c>
      <c r="F34" s="34" t="s">
        <v>129</v>
      </c>
    </row>
    <row r="35" ht="16.5" spans="1:6">
      <c r="A35" s="34" t="str">
        <f>"880916"</f>
        <v>880916</v>
      </c>
      <c r="B35" s="34" t="s">
        <v>130</v>
      </c>
      <c r="C35" s="34" t="s">
        <v>131</v>
      </c>
      <c r="D35" s="34" t="str">
        <f>"880525"</f>
        <v>880525</v>
      </c>
      <c r="E35" s="34" t="s">
        <v>132</v>
      </c>
      <c r="F35" s="34" t="s">
        <v>133</v>
      </c>
    </row>
    <row r="36" ht="16.5" spans="1:6">
      <c r="A36" s="34" t="str">
        <f>"880652"</f>
        <v>880652</v>
      </c>
      <c r="B36" s="34" t="s">
        <v>134</v>
      </c>
      <c r="C36" s="34" t="s">
        <v>135</v>
      </c>
      <c r="D36" s="34" t="str">
        <f>"880919"</f>
        <v>880919</v>
      </c>
      <c r="E36" s="34" t="s">
        <v>136</v>
      </c>
      <c r="F36" s="34" t="s">
        <v>137</v>
      </c>
    </row>
    <row r="37" ht="16.5" spans="1:6">
      <c r="A37" s="34" t="str">
        <f>"880667"</f>
        <v>880667</v>
      </c>
      <c r="B37" s="34" t="s">
        <v>138</v>
      </c>
      <c r="C37" s="34" t="s">
        <v>139</v>
      </c>
      <c r="D37" s="34" t="str">
        <f>"880685"</f>
        <v>880685</v>
      </c>
      <c r="E37" s="34" t="s">
        <v>140</v>
      </c>
      <c r="F37" s="34" t="s">
        <v>141</v>
      </c>
    </row>
    <row r="38" ht="16.5" spans="1:6">
      <c r="A38" s="34" t="str">
        <f>"880940"</f>
        <v>880940</v>
      </c>
      <c r="B38" s="34" t="s">
        <v>142</v>
      </c>
      <c r="C38" s="34" t="s">
        <v>143</v>
      </c>
      <c r="D38" s="34" t="str">
        <f>"880224"</f>
        <v>880224</v>
      </c>
      <c r="E38" s="34" t="s">
        <v>144</v>
      </c>
      <c r="F38" s="34" t="s">
        <v>145</v>
      </c>
    </row>
    <row r="39" ht="16.5" spans="1:6">
      <c r="A39" s="34" t="str">
        <f>"880493"</f>
        <v>880493</v>
      </c>
      <c r="B39" s="34" t="s">
        <v>146</v>
      </c>
      <c r="C39" s="34" t="s">
        <v>147</v>
      </c>
      <c r="D39" s="34" t="str">
        <f>"880521"</f>
        <v>880521</v>
      </c>
      <c r="E39" s="34" t="s">
        <v>148</v>
      </c>
      <c r="F39" s="34" t="s">
        <v>149</v>
      </c>
    </row>
    <row r="40" ht="16.5" spans="1:6">
      <c r="A40" s="34" t="str">
        <f>"880632"</f>
        <v>880632</v>
      </c>
      <c r="B40" s="34" t="s">
        <v>150</v>
      </c>
      <c r="C40" s="34" t="s">
        <v>151</v>
      </c>
      <c r="D40" s="34" t="str">
        <f>"880722"</f>
        <v>880722</v>
      </c>
      <c r="E40" s="34" t="s">
        <v>152</v>
      </c>
      <c r="F40" s="34" t="s">
        <v>153</v>
      </c>
    </row>
    <row r="41" ht="16.5" spans="1:6">
      <c r="A41" s="34" t="str">
        <f>"880589"</f>
        <v>880589</v>
      </c>
      <c r="B41" s="34" t="s">
        <v>154</v>
      </c>
      <c r="C41" s="34" t="s">
        <v>155</v>
      </c>
      <c r="D41" s="34" t="str">
        <f>"880726"</f>
        <v>880726</v>
      </c>
      <c r="E41" s="34" t="s">
        <v>156</v>
      </c>
      <c r="F41" s="34" t="s">
        <v>157</v>
      </c>
    </row>
    <row r="42" ht="16.5" spans="1:6">
      <c r="A42" s="34" t="str">
        <f>"880941"</f>
        <v>880941</v>
      </c>
      <c r="B42" s="34" t="s">
        <v>158</v>
      </c>
      <c r="C42" s="34" t="s">
        <v>159</v>
      </c>
      <c r="D42" s="34" t="str">
        <f>"880372"</f>
        <v>880372</v>
      </c>
      <c r="E42" s="34" t="s">
        <v>160</v>
      </c>
      <c r="F42" s="34" t="s">
        <v>161</v>
      </c>
    </row>
    <row r="43" ht="16.5" spans="1:6">
      <c r="A43" s="34" t="str">
        <f>"880748"</f>
        <v>880748</v>
      </c>
      <c r="B43" s="34" t="s">
        <v>162</v>
      </c>
      <c r="C43" s="34" t="s">
        <v>163</v>
      </c>
      <c r="D43" s="34" t="str">
        <f>"880576"</f>
        <v>880576</v>
      </c>
      <c r="E43" s="34" t="s">
        <v>164</v>
      </c>
      <c r="F43" s="34" t="s">
        <v>165</v>
      </c>
    </row>
    <row r="44" ht="16.5" spans="1:6">
      <c r="A44" s="34" t="str">
        <f>"880933"</f>
        <v>880933</v>
      </c>
      <c r="B44" s="34" t="s">
        <v>166</v>
      </c>
      <c r="C44" s="34" t="s">
        <v>167</v>
      </c>
      <c r="D44" s="34" t="str">
        <f>"880964"</f>
        <v>880964</v>
      </c>
      <c r="E44" s="34" t="s">
        <v>168</v>
      </c>
      <c r="F44" s="34" t="s">
        <v>169</v>
      </c>
    </row>
    <row r="45" ht="16.5" spans="1:6">
      <c r="A45" s="34" t="str">
        <f>"880956"</f>
        <v>880956</v>
      </c>
      <c r="B45" s="34" t="s">
        <v>170</v>
      </c>
      <c r="C45" s="34" t="s">
        <v>171</v>
      </c>
      <c r="D45" s="34" t="str">
        <f>"880636"</f>
        <v>880636</v>
      </c>
      <c r="E45" s="34" t="s">
        <v>172</v>
      </c>
      <c r="F45" s="34" t="s">
        <v>173</v>
      </c>
    </row>
    <row r="46" ht="16.5" spans="1:6">
      <c r="A46" s="34" t="str">
        <f>"880891"</f>
        <v>880891</v>
      </c>
      <c r="B46" s="34" t="s">
        <v>174</v>
      </c>
      <c r="C46" s="34" t="s">
        <v>175</v>
      </c>
      <c r="D46" s="34" t="str">
        <f>"880208"</f>
        <v>880208</v>
      </c>
      <c r="E46" s="34" t="s">
        <v>176</v>
      </c>
      <c r="F46" s="34" t="s">
        <v>177</v>
      </c>
    </row>
    <row r="47" ht="16.5" spans="1:6">
      <c r="A47" s="34" t="str">
        <f>"880739"</f>
        <v>880739</v>
      </c>
      <c r="B47" s="34" t="s">
        <v>178</v>
      </c>
      <c r="C47" s="34" t="s">
        <v>179</v>
      </c>
      <c r="D47" s="34" t="str">
        <f>"880943"</f>
        <v>880943</v>
      </c>
      <c r="E47" s="34" t="s">
        <v>180</v>
      </c>
      <c r="F47" s="34" t="s">
        <v>181</v>
      </c>
    </row>
    <row r="48" ht="16.5" spans="1:6">
      <c r="A48" s="34" t="str">
        <f>"880869"</f>
        <v>880869</v>
      </c>
      <c r="B48" s="34" t="s">
        <v>182</v>
      </c>
      <c r="C48" s="34" t="s">
        <v>183</v>
      </c>
      <c r="D48" s="34" t="str">
        <f>"880659"</f>
        <v>880659</v>
      </c>
      <c r="E48" s="34" t="s">
        <v>184</v>
      </c>
      <c r="F48" s="34" t="s">
        <v>185</v>
      </c>
    </row>
    <row r="49" ht="16.5" spans="1:6">
      <c r="A49" s="34" t="str">
        <f>"880519"</f>
        <v>880519</v>
      </c>
      <c r="B49" s="34" t="s">
        <v>186</v>
      </c>
      <c r="C49" s="34" t="s">
        <v>187</v>
      </c>
      <c r="D49" s="34" t="str">
        <f>"880209"</f>
        <v>880209</v>
      </c>
      <c r="E49" s="34" t="s">
        <v>188</v>
      </c>
      <c r="F49" s="34" t="s">
        <v>189</v>
      </c>
    </row>
    <row r="50" ht="16.5" spans="1:6">
      <c r="A50" s="34" t="str">
        <f>"880440"</f>
        <v>880440</v>
      </c>
      <c r="B50" s="34" t="s">
        <v>190</v>
      </c>
      <c r="C50" s="34" t="s">
        <v>191</v>
      </c>
      <c r="D50" s="34" t="str">
        <f>"880211"</f>
        <v>880211</v>
      </c>
      <c r="E50" s="34" t="s">
        <v>192</v>
      </c>
      <c r="F50" s="34" t="s">
        <v>193</v>
      </c>
    </row>
    <row r="51" ht="16.5" spans="1:6">
      <c r="A51" s="34" t="str">
        <f>"880901"</f>
        <v>880901</v>
      </c>
      <c r="B51" s="34" t="s">
        <v>194</v>
      </c>
      <c r="C51" s="34" t="s">
        <v>195</v>
      </c>
      <c r="D51" s="34" t="str">
        <f>"880947"</f>
        <v>880947</v>
      </c>
      <c r="E51" s="34" t="s">
        <v>196</v>
      </c>
      <c r="F51" s="34" t="s">
        <v>197</v>
      </c>
    </row>
    <row r="52" ht="16.5" spans="1:6">
      <c r="A52" s="34" t="str">
        <f>"880945"</f>
        <v>880945</v>
      </c>
      <c r="B52" s="34" t="s">
        <v>198</v>
      </c>
      <c r="C52" s="34" t="s">
        <v>199</v>
      </c>
      <c r="D52" s="34" t="str">
        <f>"880602"</f>
        <v>880602</v>
      </c>
      <c r="E52" s="34" t="s">
        <v>200</v>
      </c>
      <c r="F52" s="34" t="s">
        <v>201</v>
      </c>
    </row>
    <row r="53" ht="16.5" spans="1:6">
      <c r="A53" s="34" t="str">
        <f>"880965"</f>
        <v>880965</v>
      </c>
      <c r="B53" s="34" t="s">
        <v>202</v>
      </c>
      <c r="C53" s="34" t="s">
        <v>203</v>
      </c>
      <c r="D53" s="34" t="str">
        <f>"880715"</f>
        <v>880715</v>
      </c>
      <c r="E53" s="34" t="s">
        <v>204</v>
      </c>
      <c r="F53" s="34" t="s">
        <v>205</v>
      </c>
    </row>
    <row r="54" ht="16.5" spans="1:6">
      <c r="A54" s="34" t="str">
        <f>"880664"</f>
        <v>880664</v>
      </c>
      <c r="B54" s="34" t="s">
        <v>206</v>
      </c>
      <c r="C54" s="34" t="s">
        <v>207</v>
      </c>
      <c r="D54" s="34" t="str">
        <f>"880711"</f>
        <v>880711</v>
      </c>
      <c r="E54" s="34" t="s">
        <v>208</v>
      </c>
      <c r="F54" s="34" t="s">
        <v>209</v>
      </c>
    </row>
    <row r="55" ht="16.5" spans="1:6">
      <c r="A55" s="34" t="str">
        <f>"880781"</f>
        <v>880781</v>
      </c>
      <c r="B55" s="34" t="s">
        <v>210</v>
      </c>
      <c r="C55" s="34" t="s">
        <v>211</v>
      </c>
      <c r="D55" s="34" t="str">
        <f>"880603"</f>
        <v>880603</v>
      </c>
      <c r="E55" s="34" t="s">
        <v>212</v>
      </c>
      <c r="F55" s="34" t="s">
        <v>213</v>
      </c>
    </row>
    <row r="56" ht="16.5" spans="1:6">
      <c r="A56" s="34" t="str">
        <f>"880608"</f>
        <v>880608</v>
      </c>
      <c r="B56" s="34" t="s">
        <v>214</v>
      </c>
      <c r="C56" s="34" t="s">
        <v>215</v>
      </c>
      <c r="D56" s="34" t="str">
        <f>"880430"</f>
        <v>880430</v>
      </c>
      <c r="E56" s="34" t="s">
        <v>216</v>
      </c>
      <c r="F56" s="34" t="s">
        <v>217</v>
      </c>
    </row>
    <row r="57" ht="16.5" spans="1:6">
      <c r="A57" s="34" t="str">
        <f>"880542"</f>
        <v>880542</v>
      </c>
      <c r="B57" s="34" t="s">
        <v>218</v>
      </c>
      <c r="C57" s="34" t="s">
        <v>219</v>
      </c>
      <c r="D57" s="34" t="str">
        <f>"880539"</f>
        <v>880539</v>
      </c>
      <c r="E57" s="34" t="s">
        <v>220</v>
      </c>
      <c r="F57" s="34" t="s">
        <v>221</v>
      </c>
    </row>
    <row r="58" ht="16.5" spans="1:6">
      <c r="A58" s="34" t="str">
        <f>"880661"</f>
        <v>880661</v>
      </c>
      <c r="B58" s="34" t="s">
        <v>222</v>
      </c>
      <c r="C58" s="34" t="s">
        <v>223</v>
      </c>
      <c r="D58" s="34" t="str">
        <f>"880227"</f>
        <v>880227</v>
      </c>
      <c r="E58" s="34" t="s">
        <v>224</v>
      </c>
      <c r="F58" s="34" t="s">
        <v>225</v>
      </c>
    </row>
    <row r="59" ht="16.5" spans="1:6">
      <c r="A59" s="34" t="str">
        <f>"880960"</f>
        <v>880960</v>
      </c>
      <c r="B59" s="34" t="s">
        <v>226</v>
      </c>
      <c r="C59" s="34" t="s">
        <v>227</v>
      </c>
      <c r="D59" s="34" t="str">
        <f>"880682"</f>
        <v>880682</v>
      </c>
      <c r="E59" s="34" t="s">
        <v>228</v>
      </c>
      <c r="F59" s="34" t="s">
        <v>229</v>
      </c>
    </row>
    <row r="60" ht="16.5" spans="1:6">
      <c r="A60" s="34" t="str">
        <f>"880760"</f>
        <v>880760</v>
      </c>
      <c r="B60" s="34" t="s">
        <v>230</v>
      </c>
      <c r="C60" s="34" t="s">
        <v>231</v>
      </c>
      <c r="D60" s="34" t="str">
        <f>"880202"</f>
        <v>880202</v>
      </c>
      <c r="E60" s="34" t="s">
        <v>232</v>
      </c>
      <c r="F60" s="34" t="s">
        <v>233</v>
      </c>
    </row>
    <row r="61" ht="16.5" spans="1:6">
      <c r="A61" s="34" t="str">
        <f>"880976"</f>
        <v>880976</v>
      </c>
      <c r="B61" s="34" t="s">
        <v>234</v>
      </c>
      <c r="C61" s="34" t="s">
        <v>235</v>
      </c>
      <c r="D61" s="34" t="str">
        <f>"880929"</f>
        <v>880929</v>
      </c>
      <c r="E61" s="34" t="s">
        <v>236</v>
      </c>
      <c r="F61" s="34" t="s">
        <v>237</v>
      </c>
    </row>
    <row r="62" ht="16.5" spans="1:6">
      <c r="A62" s="34" t="str">
        <f>"880221"</f>
        <v>880221</v>
      </c>
      <c r="B62" s="34" t="s">
        <v>238</v>
      </c>
      <c r="C62" s="34" t="s">
        <v>239</v>
      </c>
      <c r="D62" s="34" t="str">
        <f>"880232"</f>
        <v>880232</v>
      </c>
      <c r="E62" s="34" t="s">
        <v>240</v>
      </c>
      <c r="F62" s="34" t="s">
        <v>241</v>
      </c>
    </row>
    <row r="63" ht="16.5" spans="1:6">
      <c r="A63" s="34" t="str">
        <f>"880577"</f>
        <v>880577</v>
      </c>
      <c r="B63" s="34" t="s">
        <v>242</v>
      </c>
      <c r="C63" s="34" t="s">
        <v>243</v>
      </c>
      <c r="D63" s="34" t="str">
        <f>"880823"</f>
        <v>880823</v>
      </c>
      <c r="E63" s="34" t="s">
        <v>244</v>
      </c>
      <c r="F63" s="34" t="s">
        <v>245</v>
      </c>
    </row>
    <row r="64" ht="16.5" spans="1:6">
      <c r="A64" s="34" t="str">
        <f>"880860"</f>
        <v>880860</v>
      </c>
      <c r="B64" s="34" t="s">
        <v>246</v>
      </c>
      <c r="C64" s="34" t="s">
        <v>247</v>
      </c>
      <c r="D64" s="34" t="str">
        <f>"880926"</f>
        <v>880926</v>
      </c>
      <c r="E64" s="34" t="s">
        <v>248</v>
      </c>
      <c r="F64" s="34" t="s">
        <v>249</v>
      </c>
    </row>
    <row r="65" ht="16.5" spans="1:6">
      <c r="A65" s="34" t="str">
        <f>"880877"</f>
        <v>880877</v>
      </c>
      <c r="B65" s="34" t="s">
        <v>250</v>
      </c>
      <c r="C65" s="34" t="s">
        <v>251</v>
      </c>
      <c r="D65" s="34" t="str">
        <f>"880856"</f>
        <v>880856</v>
      </c>
      <c r="E65" s="34" t="s">
        <v>252</v>
      </c>
      <c r="F65" s="34" t="s">
        <v>253</v>
      </c>
    </row>
    <row r="66" ht="16.5" spans="1:6">
      <c r="A66" s="34" t="str">
        <f>"880670"</f>
        <v>880670</v>
      </c>
      <c r="B66" s="34" t="s">
        <v>254</v>
      </c>
      <c r="C66" s="34" t="s">
        <v>255</v>
      </c>
      <c r="D66" s="34" t="str">
        <f>"880650"</f>
        <v>880650</v>
      </c>
      <c r="E66" s="34" t="s">
        <v>256</v>
      </c>
      <c r="F66" s="34" t="s">
        <v>257</v>
      </c>
    </row>
    <row r="67" ht="16.5" spans="1:6">
      <c r="A67" s="34" t="str">
        <f>"880758"</f>
        <v>880758</v>
      </c>
      <c r="B67" s="34" t="s">
        <v>258</v>
      </c>
      <c r="C67" s="34" t="s">
        <v>259</v>
      </c>
      <c r="D67" s="34" t="str">
        <f>"880567"</f>
        <v>880567</v>
      </c>
      <c r="E67" s="34" t="s">
        <v>260</v>
      </c>
      <c r="F67" s="34" t="s">
        <v>261</v>
      </c>
    </row>
    <row r="68" ht="16.5" spans="1:6">
      <c r="A68" s="34" t="str">
        <f>"880761"</f>
        <v>880761</v>
      </c>
      <c r="B68" s="34" t="s">
        <v>262</v>
      </c>
      <c r="C68" s="34" t="s">
        <v>263</v>
      </c>
      <c r="D68" s="34" t="str">
        <f>"880899"</f>
        <v>880899</v>
      </c>
      <c r="E68" s="34" t="s">
        <v>264</v>
      </c>
      <c r="F68" s="34" t="s">
        <v>265</v>
      </c>
    </row>
    <row r="69" ht="16.5" spans="1:6">
      <c r="A69" s="34" t="str">
        <f>"880546"</f>
        <v>880546</v>
      </c>
      <c r="B69" s="34" t="s">
        <v>266</v>
      </c>
      <c r="C69" s="34" t="s">
        <v>267</v>
      </c>
      <c r="D69" s="34" t="str">
        <f>"880953"</f>
        <v>880953</v>
      </c>
      <c r="E69" s="34" t="s">
        <v>268</v>
      </c>
      <c r="F69" s="34" t="s">
        <v>269</v>
      </c>
    </row>
    <row r="70" ht="16.5" spans="1:6">
      <c r="A70" s="34" t="str">
        <f>"880645"</f>
        <v>880645</v>
      </c>
      <c r="B70" s="34" t="s">
        <v>270</v>
      </c>
      <c r="C70" s="34" t="s">
        <v>271</v>
      </c>
      <c r="D70" s="34" t="str">
        <f>"880719"</f>
        <v>880719</v>
      </c>
      <c r="E70" s="34" t="s">
        <v>272</v>
      </c>
      <c r="F70" s="34" t="s">
        <v>273</v>
      </c>
    </row>
    <row r="71" ht="16.5" spans="1:6">
      <c r="A71" s="34" t="str">
        <f>"880654"</f>
        <v>880654</v>
      </c>
      <c r="B71" s="34" t="s">
        <v>274</v>
      </c>
      <c r="C71" s="34" t="s">
        <v>275</v>
      </c>
      <c r="D71" s="34" t="str">
        <f>"880893"</f>
        <v>880893</v>
      </c>
      <c r="E71" s="34" t="s">
        <v>276</v>
      </c>
      <c r="F71" s="34" t="s">
        <v>277</v>
      </c>
    </row>
    <row r="72" ht="16.5" spans="1:6">
      <c r="A72" s="34" t="str">
        <f>"880219"</f>
        <v>880219</v>
      </c>
      <c r="B72" s="34" t="s">
        <v>278</v>
      </c>
      <c r="C72" s="34" t="s">
        <v>279</v>
      </c>
      <c r="D72" s="34" t="str">
        <f>"880201"</f>
        <v>880201</v>
      </c>
      <c r="E72" s="34" t="s">
        <v>280</v>
      </c>
      <c r="F72" s="34" t="s">
        <v>281</v>
      </c>
    </row>
    <row r="73" ht="16.5" spans="1:6">
      <c r="A73" s="34" t="str">
        <f>"880627"</f>
        <v>880627</v>
      </c>
      <c r="B73" s="34" t="s">
        <v>282</v>
      </c>
      <c r="C73" s="34" t="s">
        <v>283</v>
      </c>
      <c r="D73" s="34" t="str">
        <f>"880210"</f>
        <v>880210</v>
      </c>
      <c r="E73" s="34" t="s">
        <v>284</v>
      </c>
      <c r="F73" s="34" t="s">
        <v>285</v>
      </c>
    </row>
    <row r="74" ht="16.5" spans="1:6">
      <c r="A74" s="34" t="str">
        <f>"880727"</f>
        <v>880727</v>
      </c>
      <c r="B74" s="34" t="s">
        <v>286</v>
      </c>
      <c r="C74" s="34" t="s">
        <v>287</v>
      </c>
      <c r="D74" s="34" t="str">
        <f>"880637"</f>
        <v>880637</v>
      </c>
      <c r="E74" s="34" t="s">
        <v>288</v>
      </c>
      <c r="F74" s="34" t="s">
        <v>289</v>
      </c>
    </row>
    <row r="75" ht="16.5" spans="1:6">
      <c r="A75" s="34" t="str">
        <f>"880725"</f>
        <v>880725</v>
      </c>
      <c r="B75" s="34" t="s">
        <v>290</v>
      </c>
      <c r="C75" s="34" t="s">
        <v>291</v>
      </c>
      <c r="D75" s="34" t="str">
        <f>"880662"</f>
        <v>880662</v>
      </c>
      <c r="E75" s="34" t="s">
        <v>292</v>
      </c>
      <c r="F75" s="34" t="s">
        <v>293</v>
      </c>
    </row>
    <row r="76" ht="16.5" spans="1:6">
      <c r="A76" s="34" t="str">
        <f>"880736"</f>
        <v>880736</v>
      </c>
      <c r="B76" s="34" t="s">
        <v>294</v>
      </c>
      <c r="C76" s="34" t="s">
        <v>295</v>
      </c>
      <c r="D76" s="34" t="str">
        <f>"880668"</f>
        <v>880668</v>
      </c>
      <c r="E76" s="34" t="s">
        <v>296</v>
      </c>
      <c r="F76" s="34" t="s">
        <v>297</v>
      </c>
    </row>
    <row r="77" ht="16.5" spans="1:6">
      <c r="A77" s="34" t="str">
        <f>"880913"</f>
        <v>880913</v>
      </c>
      <c r="B77" s="34" t="s">
        <v>298</v>
      </c>
      <c r="C77" s="34" t="s">
        <v>299</v>
      </c>
      <c r="D77" s="34" t="str">
        <f>"880231"</f>
        <v>880231</v>
      </c>
      <c r="E77" s="34" t="s">
        <v>300</v>
      </c>
      <c r="F77" s="34" t="s">
        <v>301</v>
      </c>
    </row>
    <row r="78" ht="16.5" spans="1:6">
      <c r="A78" s="34" t="str">
        <f>"880672"</f>
        <v>880672</v>
      </c>
      <c r="B78" s="34" t="s">
        <v>302</v>
      </c>
      <c r="C78" s="34" t="s">
        <v>303</v>
      </c>
      <c r="D78" s="34" t="str">
        <f>"880701"</f>
        <v>880701</v>
      </c>
      <c r="E78" s="34" t="s">
        <v>304</v>
      </c>
      <c r="F78" s="34" t="s">
        <v>305</v>
      </c>
    </row>
    <row r="79" ht="16.5" spans="1:6">
      <c r="A79" s="34" t="str">
        <f>"880605"</f>
        <v>880605</v>
      </c>
      <c r="B79" s="34" t="s">
        <v>306</v>
      </c>
      <c r="C79" s="34" t="s">
        <v>307</v>
      </c>
      <c r="D79" s="34" t="str">
        <f>"880214"</f>
        <v>880214</v>
      </c>
      <c r="E79" s="34" t="s">
        <v>308</v>
      </c>
      <c r="F79" s="34" t="s">
        <v>309</v>
      </c>
    </row>
    <row r="80" ht="16.5" spans="1:6">
      <c r="A80" s="34" t="str">
        <f>"880630"</f>
        <v>880630</v>
      </c>
      <c r="B80" s="34" t="s">
        <v>310</v>
      </c>
      <c r="C80" s="34" t="s">
        <v>311</v>
      </c>
      <c r="D80" s="34" t="str">
        <f>"880744"</f>
        <v>880744</v>
      </c>
      <c r="E80" s="34" t="s">
        <v>312</v>
      </c>
      <c r="F80" s="34" t="s">
        <v>313</v>
      </c>
    </row>
    <row r="81" ht="16.5" spans="1:6">
      <c r="A81" s="34" t="str">
        <f>"880360"</f>
        <v>880360</v>
      </c>
      <c r="B81" s="34" t="s">
        <v>314</v>
      </c>
      <c r="C81" s="34" t="s">
        <v>315</v>
      </c>
      <c r="D81" s="34" t="str">
        <f>"880454"</f>
        <v>880454</v>
      </c>
      <c r="E81" s="34" t="s">
        <v>316</v>
      </c>
      <c r="F81" s="34" t="s">
        <v>317</v>
      </c>
    </row>
    <row r="82" ht="16.5" spans="1:6">
      <c r="A82" s="34" t="str">
        <f>"880597"</f>
        <v>880597</v>
      </c>
      <c r="B82" s="34" t="s">
        <v>318</v>
      </c>
      <c r="C82" s="34" t="s">
        <v>319</v>
      </c>
      <c r="D82" s="34" t="str">
        <f>"880706"</f>
        <v>880706</v>
      </c>
      <c r="E82" s="34" t="s">
        <v>320</v>
      </c>
      <c r="F82" s="34" t="s">
        <v>321</v>
      </c>
    </row>
    <row r="83" ht="16.5" spans="1:6">
      <c r="A83" s="34" t="str">
        <f>"880489"</f>
        <v>880489</v>
      </c>
      <c r="B83" s="34" t="s">
        <v>322</v>
      </c>
      <c r="C83" s="34" t="s">
        <v>323</v>
      </c>
      <c r="D83" s="34" t="str">
        <f>"880559"</f>
        <v>880559</v>
      </c>
      <c r="E83" s="34" t="s">
        <v>324</v>
      </c>
      <c r="F83" s="34" t="s">
        <v>325</v>
      </c>
    </row>
    <row r="84" ht="16.5" spans="1:6">
      <c r="A84" s="34" t="str">
        <f>"880720"</f>
        <v>880720</v>
      </c>
      <c r="B84" s="34" t="s">
        <v>326</v>
      </c>
      <c r="C84" s="34" t="s">
        <v>327</v>
      </c>
      <c r="D84" s="34" t="str">
        <f>"880842"</f>
        <v>880842</v>
      </c>
      <c r="E84" s="34" t="s">
        <v>328</v>
      </c>
      <c r="F84" s="34" t="s">
        <v>329</v>
      </c>
    </row>
    <row r="85" ht="16.5" spans="1:6">
      <c r="A85" s="34" t="str">
        <f>"880756"</f>
        <v>880756</v>
      </c>
      <c r="B85" s="34" t="s">
        <v>330</v>
      </c>
      <c r="C85" s="34" t="s">
        <v>331</v>
      </c>
      <c r="D85" s="34" t="str">
        <f>"399807"</f>
        <v>399807</v>
      </c>
      <c r="E85" s="34" t="s">
        <v>332</v>
      </c>
      <c r="F85" s="34" t="s">
        <v>333</v>
      </c>
    </row>
    <row r="86" ht="16.5" spans="1:6">
      <c r="A86" s="34" t="str">
        <f>"880882"</f>
        <v>880882</v>
      </c>
      <c r="B86" s="34" t="s">
        <v>334</v>
      </c>
      <c r="C86" s="34" t="s">
        <v>335</v>
      </c>
      <c r="D86" s="34" t="str">
        <f>"399438"</f>
        <v>399438</v>
      </c>
      <c r="E86" s="34" t="s">
        <v>38</v>
      </c>
      <c r="F86" s="34" t="s">
        <v>333</v>
      </c>
    </row>
    <row r="87" ht="16.5" spans="1:6">
      <c r="A87" s="34" t="str">
        <f>"880614"</f>
        <v>880614</v>
      </c>
      <c r="B87" s="34" t="s">
        <v>336</v>
      </c>
      <c r="C87" s="34" t="s">
        <v>337</v>
      </c>
      <c r="D87" s="34" t="str">
        <f>"399377"</f>
        <v>399377</v>
      </c>
      <c r="E87" s="34" t="s">
        <v>338</v>
      </c>
      <c r="F87" s="34" t="s">
        <v>333</v>
      </c>
    </row>
    <row r="88" ht="16.5" spans="1:6">
      <c r="A88" s="34" t="str">
        <f>"880225"</f>
        <v>880225</v>
      </c>
      <c r="B88" s="34" t="s">
        <v>339</v>
      </c>
      <c r="C88" s="34" t="s">
        <v>340</v>
      </c>
      <c r="D88" s="34" t="str">
        <f>"399375"</f>
        <v>399375</v>
      </c>
      <c r="E88" s="34" t="s">
        <v>341</v>
      </c>
      <c r="F88" s="34" t="s">
        <v>333</v>
      </c>
    </row>
    <row r="89" ht="16.5" spans="1:6">
      <c r="A89" s="34" t="str">
        <f>"880610"</f>
        <v>880610</v>
      </c>
      <c r="B89" s="34" t="s">
        <v>342</v>
      </c>
      <c r="C89" s="34" t="s">
        <v>343</v>
      </c>
      <c r="D89" s="34" t="str">
        <f>"399372"</f>
        <v>399372</v>
      </c>
      <c r="E89" s="34" t="s">
        <v>344</v>
      </c>
      <c r="F89" s="34" t="s">
        <v>333</v>
      </c>
    </row>
    <row r="90" ht="16.5" spans="1:6">
      <c r="A90" s="34" t="str">
        <f>"880624"</f>
        <v>880624</v>
      </c>
      <c r="B90" s="34" t="s">
        <v>345</v>
      </c>
      <c r="C90" s="34" t="s">
        <v>346</v>
      </c>
      <c r="D90" s="34" t="str">
        <f>"399370"</f>
        <v>399370</v>
      </c>
      <c r="E90" s="34" t="s">
        <v>347</v>
      </c>
      <c r="F90" s="34" t="s">
        <v>333</v>
      </c>
    </row>
    <row r="91" ht="16.5" spans="1:6">
      <c r="A91" s="34" t="str">
        <f>"880596"</f>
        <v>880596</v>
      </c>
      <c r="B91" s="34" t="s">
        <v>348</v>
      </c>
      <c r="C91" s="34" t="s">
        <v>349</v>
      </c>
      <c r="D91" s="34" t="str">
        <f>"399346"</f>
        <v>399346</v>
      </c>
      <c r="E91" s="34" t="s">
        <v>350</v>
      </c>
      <c r="F91" s="34" t="s">
        <v>333</v>
      </c>
    </row>
    <row r="92" ht="16.5" spans="1:6">
      <c r="A92" s="34" t="str">
        <f>"880535"</f>
        <v>880535</v>
      </c>
      <c r="B92" s="34" t="s">
        <v>351</v>
      </c>
      <c r="C92" s="34" t="s">
        <v>352</v>
      </c>
      <c r="D92" s="34" t="str">
        <f>"399328"</f>
        <v>399328</v>
      </c>
      <c r="E92" s="34" t="s">
        <v>353</v>
      </c>
      <c r="F92" s="34" t="s">
        <v>333</v>
      </c>
    </row>
    <row r="93" ht="16.5" spans="1:6">
      <c r="A93" s="34" t="str">
        <f>"880834"</f>
        <v>880834</v>
      </c>
      <c r="B93" s="34" t="s">
        <v>354</v>
      </c>
      <c r="C93" s="34" t="s">
        <v>355</v>
      </c>
      <c r="D93" s="34" t="str">
        <f>"399319"</f>
        <v>399319</v>
      </c>
      <c r="E93" s="34" t="s">
        <v>356</v>
      </c>
      <c r="F93" s="34" t="s">
        <v>333</v>
      </c>
    </row>
    <row r="94" ht="16.5" spans="1:6">
      <c r="A94" s="34" t="str">
        <f>"880543"</f>
        <v>880543</v>
      </c>
      <c r="B94" s="34" t="s">
        <v>357</v>
      </c>
      <c r="C94" s="34" t="s">
        <v>358</v>
      </c>
      <c r="D94" s="34" t="str">
        <f>"399296"</f>
        <v>399296</v>
      </c>
      <c r="E94" s="34" t="s">
        <v>359</v>
      </c>
      <c r="F94" s="34" t="s">
        <v>333</v>
      </c>
    </row>
    <row r="95" ht="16.5" spans="1:6">
      <c r="A95" s="34" t="str">
        <f>"880318"</f>
        <v>880318</v>
      </c>
      <c r="B95" s="34" t="s">
        <v>360</v>
      </c>
      <c r="C95" s="34" t="s">
        <v>361</v>
      </c>
      <c r="D95" s="34" t="str">
        <f>"399295"</f>
        <v>399295</v>
      </c>
      <c r="E95" s="34" t="s">
        <v>362</v>
      </c>
      <c r="F95" s="34" t="s">
        <v>333</v>
      </c>
    </row>
    <row r="96" ht="16.5" spans="1:6">
      <c r="A96" s="34" t="str">
        <f>"880406"</f>
        <v>880406</v>
      </c>
      <c r="B96" s="34" t="s">
        <v>363</v>
      </c>
      <c r="C96" s="34" t="s">
        <v>364</v>
      </c>
      <c r="D96" s="34" t="str">
        <f>"399276"</f>
        <v>399276</v>
      </c>
      <c r="E96" s="34" t="s">
        <v>365</v>
      </c>
      <c r="F96" s="34" t="s">
        <v>333</v>
      </c>
    </row>
    <row r="97" ht="16.5" spans="1:6">
      <c r="A97" s="34" t="str">
        <f>"880673"</f>
        <v>880673</v>
      </c>
      <c r="B97" s="34" t="s">
        <v>366</v>
      </c>
      <c r="C97" s="34" t="s">
        <v>367</v>
      </c>
      <c r="D97" s="34" t="str">
        <f>"399262"</f>
        <v>399262</v>
      </c>
      <c r="E97" s="34" t="s">
        <v>368</v>
      </c>
      <c r="F97" s="34" t="s">
        <v>333</v>
      </c>
    </row>
    <row r="98" ht="16.5" spans="1:6">
      <c r="A98" s="34" t="str">
        <f>"880205"</f>
        <v>880205</v>
      </c>
      <c r="B98" s="34" t="s">
        <v>369</v>
      </c>
      <c r="C98" s="34" t="s">
        <v>370</v>
      </c>
      <c r="D98" s="34" t="str">
        <f>"399012"</f>
        <v>399012</v>
      </c>
      <c r="E98" s="34" t="s">
        <v>371</v>
      </c>
      <c r="F98" s="34" t="s">
        <v>333</v>
      </c>
    </row>
    <row r="99" ht="16.5" spans="1:6">
      <c r="A99" s="34" t="str">
        <f>"880222"</f>
        <v>880222</v>
      </c>
      <c r="B99" s="34" t="s">
        <v>372</v>
      </c>
      <c r="C99" s="34" t="s">
        <v>373</v>
      </c>
      <c r="D99" s="34" t="str">
        <f>"000159"</f>
        <v>000159</v>
      </c>
      <c r="E99" s="34" t="s">
        <v>374</v>
      </c>
      <c r="F99" s="34" t="s">
        <v>333</v>
      </c>
    </row>
    <row r="100" ht="16.5" spans="1:6">
      <c r="A100" s="34" t="str">
        <f>"880344"</f>
        <v>880344</v>
      </c>
      <c r="B100" s="34" t="s">
        <v>375</v>
      </c>
      <c r="C100" s="34" t="s">
        <v>376</v>
      </c>
      <c r="D100" s="34" t="str">
        <f>"999998"</f>
        <v>999998</v>
      </c>
      <c r="E100" s="34" t="s">
        <v>17</v>
      </c>
      <c r="F100" s="34" t="s">
        <v>333</v>
      </c>
    </row>
    <row r="101" ht="16.5" spans="1:3">
      <c r="A101" s="34" t="str">
        <f>"880790"</f>
        <v>880790</v>
      </c>
      <c r="B101" s="34" t="s">
        <v>377</v>
      </c>
      <c r="C101" s="34" t="s">
        <v>378</v>
      </c>
    </row>
    <row r="102" ht="16.5" spans="1:3">
      <c r="A102" s="34" t="str">
        <f>"880716"</f>
        <v>880716</v>
      </c>
      <c r="B102" s="34" t="s">
        <v>379</v>
      </c>
      <c r="C102" s="34" t="s">
        <v>380</v>
      </c>
    </row>
    <row r="103" ht="16.5" spans="1:3">
      <c r="A103" s="34" t="str">
        <f>"880569"</f>
        <v>880569</v>
      </c>
      <c r="B103" s="34" t="s">
        <v>381</v>
      </c>
      <c r="C103" s="34" t="s">
        <v>382</v>
      </c>
    </row>
    <row r="104" ht="16.5" spans="1:3">
      <c r="A104" s="34" t="str">
        <f>"880587"</f>
        <v>880587</v>
      </c>
      <c r="B104" s="34" t="s">
        <v>383</v>
      </c>
      <c r="C104" s="34" t="s">
        <v>384</v>
      </c>
    </row>
    <row r="105" ht="16.5" spans="1:3">
      <c r="A105" s="34" t="str">
        <f>"880448"</f>
        <v>880448</v>
      </c>
      <c r="B105" s="34" t="s">
        <v>385</v>
      </c>
      <c r="C105" s="34" t="s">
        <v>386</v>
      </c>
    </row>
    <row r="106" ht="16.5" spans="1:3">
      <c r="A106" s="34" t="str">
        <f>"880724"</f>
        <v>880724</v>
      </c>
      <c r="B106" s="34" t="s">
        <v>387</v>
      </c>
      <c r="C106" s="34" t="s">
        <v>388</v>
      </c>
    </row>
    <row r="107" ht="16.5" spans="1:3">
      <c r="A107" s="34" t="str">
        <f>"880675"</f>
        <v>880675</v>
      </c>
      <c r="B107" s="34" t="s">
        <v>389</v>
      </c>
      <c r="C107" s="34" t="s">
        <v>390</v>
      </c>
    </row>
    <row r="108" ht="16.5" spans="1:3">
      <c r="A108" s="34" t="str">
        <f>"880908"</f>
        <v>880908</v>
      </c>
      <c r="B108" s="34" t="s">
        <v>391</v>
      </c>
      <c r="C108" s="34" t="s">
        <v>392</v>
      </c>
    </row>
    <row r="109" ht="16.5" spans="1:3">
      <c r="A109" s="34" t="str">
        <f>"880367"</f>
        <v>880367</v>
      </c>
      <c r="B109" s="34" t="s">
        <v>393</v>
      </c>
      <c r="C109" s="34" t="s">
        <v>394</v>
      </c>
    </row>
    <row r="110" ht="16.5" spans="1:3">
      <c r="A110" s="34" t="str">
        <f>"880456"</f>
        <v>880456</v>
      </c>
      <c r="B110" s="34" t="s">
        <v>395</v>
      </c>
      <c r="C110" s="34" t="s">
        <v>396</v>
      </c>
    </row>
    <row r="111" ht="16.5" spans="1:3">
      <c r="A111" s="34" t="str">
        <f>"880660"</f>
        <v>880660</v>
      </c>
      <c r="B111" s="34" t="s">
        <v>397</v>
      </c>
      <c r="C111" s="34" t="s">
        <v>398</v>
      </c>
    </row>
    <row r="112" ht="16.5" spans="1:3">
      <c r="A112" s="34" t="str">
        <f>"880606"</f>
        <v>880606</v>
      </c>
      <c r="B112" s="34" t="s">
        <v>399</v>
      </c>
      <c r="C112" s="34" t="s">
        <v>400</v>
      </c>
    </row>
    <row r="113" ht="16.5" spans="1:3">
      <c r="A113" s="34" t="str">
        <f>"880562"</f>
        <v>880562</v>
      </c>
      <c r="B113" s="34" t="s">
        <v>401</v>
      </c>
      <c r="C113" s="34" t="s">
        <v>402</v>
      </c>
    </row>
    <row r="114" ht="16.5" spans="1:3">
      <c r="A114" s="34" t="str">
        <f>"880571"</f>
        <v>880571</v>
      </c>
      <c r="B114" s="34" t="s">
        <v>403</v>
      </c>
      <c r="C114" s="34" t="s">
        <v>404</v>
      </c>
    </row>
    <row r="115" ht="16.5" spans="1:3">
      <c r="A115" s="34" t="str">
        <f>"880704"</f>
        <v>880704</v>
      </c>
      <c r="B115" s="34" t="s">
        <v>405</v>
      </c>
      <c r="C115" s="34" t="s">
        <v>406</v>
      </c>
    </row>
    <row r="116" ht="16.5" spans="1:3">
      <c r="A116" s="34" t="str">
        <f>"880621"</f>
        <v>880621</v>
      </c>
      <c r="B116" s="34" t="s">
        <v>407</v>
      </c>
      <c r="C116" s="34" t="s">
        <v>408</v>
      </c>
    </row>
    <row r="117" ht="16.5" spans="1:3">
      <c r="A117" s="34" t="str">
        <f>"880794"</f>
        <v>880794</v>
      </c>
      <c r="B117" s="34" t="s">
        <v>409</v>
      </c>
      <c r="C117" s="34" t="s">
        <v>410</v>
      </c>
    </row>
    <row r="118" ht="16.5" spans="1:3">
      <c r="A118" s="34" t="str">
        <f>"880611"</f>
        <v>880611</v>
      </c>
      <c r="B118" s="34" t="s">
        <v>411</v>
      </c>
      <c r="C118" s="34" t="s">
        <v>412</v>
      </c>
    </row>
    <row r="119" ht="16.5" spans="1:3">
      <c r="A119" s="34" t="str">
        <f>"880791"</f>
        <v>880791</v>
      </c>
      <c r="B119" s="34" t="s">
        <v>413</v>
      </c>
      <c r="C119" s="34" t="s">
        <v>414</v>
      </c>
    </row>
    <row r="120" ht="16.5" spans="1:3">
      <c r="A120" s="34" t="str">
        <f>"880631"</f>
        <v>880631</v>
      </c>
      <c r="B120" s="34" t="s">
        <v>415</v>
      </c>
      <c r="C120" s="34" t="s">
        <v>416</v>
      </c>
    </row>
    <row r="121" ht="16.5" spans="1:3">
      <c r="A121" s="34" t="str">
        <f>"880733"</f>
        <v>880733</v>
      </c>
      <c r="B121" s="34" t="s">
        <v>417</v>
      </c>
      <c r="C121" s="34" t="s">
        <v>418</v>
      </c>
    </row>
    <row r="122" ht="16.5" spans="1:3">
      <c r="A122" s="34" t="str">
        <f>"880330"</f>
        <v>880330</v>
      </c>
      <c r="B122" s="34" t="s">
        <v>419</v>
      </c>
      <c r="C122" s="34" t="s">
        <v>420</v>
      </c>
    </row>
    <row r="123" ht="16.5" spans="1:3">
      <c r="A123" s="34" t="str">
        <f>"880643"</f>
        <v>880643</v>
      </c>
      <c r="B123" s="34" t="s">
        <v>421</v>
      </c>
      <c r="C123" s="34" t="s">
        <v>422</v>
      </c>
    </row>
    <row r="124" ht="16.5" spans="1:3">
      <c r="A124" s="34" t="str">
        <f>"880714"</f>
        <v>880714</v>
      </c>
      <c r="B124" s="34" t="s">
        <v>423</v>
      </c>
      <c r="C124" s="34" t="s">
        <v>424</v>
      </c>
    </row>
    <row r="125" ht="16.5" spans="1:3">
      <c r="A125" s="34" t="str">
        <f>"880779"</f>
        <v>880779</v>
      </c>
      <c r="B125" s="34" t="s">
        <v>425</v>
      </c>
      <c r="C125" s="34" t="s">
        <v>426</v>
      </c>
    </row>
    <row r="126" ht="16.5" spans="1:3">
      <c r="A126" s="34" t="str">
        <f>"880647"</f>
        <v>880647</v>
      </c>
      <c r="B126" s="34" t="s">
        <v>427</v>
      </c>
      <c r="C126" s="34" t="s">
        <v>428</v>
      </c>
    </row>
    <row r="127" ht="16.5" spans="1:3">
      <c r="A127" s="34" t="str">
        <f>"880734"</f>
        <v>880734</v>
      </c>
      <c r="B127" s="34" t="s">
        <v>429</v>
      </c>
      <c r="C127" s="34" t="s">
        <v>430</v>
      </c>
    </row>
    <row r="128" ht="16.5" spans="1:3">
      <c r="A128" s="34" t="str">
        <f>"880959"</f>
        <v>880959</v>
      </c>
      <c r="B128" s="34" t="s">
        <v>431</v>
      </c>
      <c r="C128" s="34" t="s">
        <v>432</v>
      </c>
    </row>
    <row r="129" ht="16.5" spans="1:3">
      <c r="A129" s="34" t="str">
        <f>"880421"</f>
        <v>880421</v>
      </c>
      <c r="B129" s="34" t="s">
        <v>433</v>
      </c>
      <c r="C129" s="34" t="s">
        <v>434</v>
      </c>
    </row>
    <row r="130" ht="16.5" spans="1:3">
      <c r="A130" s="34" t="str">
        <f>"880563"</f>
        <v>880563</v>
      </c>
      <c r="B130" s="34" t="s">
        <v>435</v>
      </c>
      <c r="C130" s="34" t="s">
        <v>436</v>
      </c>
    </row>
    <row r="131" ht="16.5" spans="1:3">
      <c r="A131" s="34" t="str">
        <f>"880713"</f>
        <v>880713</v>
      </c>
      <c r="B131" s="34" t="s">
        <v>437</v>
      </c>
      <c r="C131" s="34" t="s">
        <v>438</v>
      </c>
    </row>
    <row r="132" ht="16.5" spans="1:3">
      <c r="A132" s="34" t="str">
        <f>"880230"</f>
        <v>880230</v>
      </c>
      <c r="B132" s="34" t="s">
        <v>439</v>
      </c>
      <c r="C132" s="34" t="s">
        <v>440</v>
      </c>
    </row>
    <row r="133" ht="16.5" spans="1:3">
      <c r="A133" s="34" t="str">
        <f>"880817"</f>
        <v>880817</v>
      </c>
      <c r="B133" s="34" t="s">
        <v>441</v>
      </c>
      <c r="C133" s="34" t="s">
        <v>442</v>
      </c>
    </row>
    <row r="134" ht="16.5" spans="1:3">
      <c r="A134" s="34" t="str">
        <f>"880586"</f>
        <v>880586</v>
      </c>
      <c r="B134" s="34" t="s">
        <v>443</v>
      </c>
      <c r="C134" s="34" t="s">
        <v>444</v>
      </c>
    </row>
    <row r="135" ht="16.5" spans="1:3">
      <c r="A135" s="34" t="str">
        <f>"880204"</f>
        <v>880204</v>
      </c>
      <c r="B135" s="34" t="s">
        <v>445</v>
      </c>
      <c r="C135" s="34" t="s">
        <v>446</v>
      </c>
    </row>
    <row r="136" ht="16.5" spans="1:3">
      <c r="A136" s="34" t="str">
        <f>"880604"</f>
        <v>880604</v>
      </c>
      <c r="B136" s="34" t="s">
        <v>447</v>
      </c>
      <c r="C136" s="34" t="s">
        <v>448</v>
      </c>
    </row>
    <row r="137" ht="16.5" spans="1:3">
      <c r="A137" s="34" t="str">
        <f>"880767"</f>
        <v>880767</v>
      </c>
      <c r="B137" s="34" t="s">
        <v>449</v>
      </c>
      <c r="C137" s="34" t="s">
        <v>450</v>
      </c>
    </row>
    <row r="138" ht="16.5" spans="1:3">
      <c r="A138" s="34" t="str">
        <f>"880709"</f>
        <v>880709</v>
      </c>
      <c r="B138" s="34" t="s">
        <v>451</v>
      </c>
      <c r="C138" s="34" t="s">
        <v>452</v>
      </c>
    </row>
    <row r="139" ht="16.5" spans="1:3">
      <c r="A139" s="34" t="str">
        <f>"880922"</f>
        <v>880922</v>
      </c>
      <c r="B139" s="34" t="s">
        <v>453</v>
      </c>
      <c r="C139" s="34" t="s">
        <v>454</v>
      </c>
    </row>
    <row r="140" ht="16.5" spans="1:3">
      <c r="A140" s="34" t="str">
        <f>"880808"</f>
        <v>880808</v>
      </c>
      <c r="B140" s="34" t="s">
        <v>455</v>
      </c>
      <c r="C140" s="34" t="s">
        <v>456</v>
      </c>
    </row>
    <row r="141" ht="16.5" spans="1:3">
      <c r="A141" s="34" t="str">
        <f>"880796"</f>
        <v>880796</v>
      </c>
      <c r="B141" s="34" t="s">
        <v>457</v>
      </c>
      <c r="C141" s="34" t="s">
        <v>458</v>
      </c>
    </row>
    <row r="142" ht="16.5" spans="1:3">
      <c r="A142" s="34" t="str">
        <f>"880745"</f>
        <v>880745</v>
      </c>
      <c r="B142" s="34" t="s">
        <v>459</v>
      </c>
      <c r="C142" s="34" t="s">
        <v>460</v>
      </c>
    </row>
    <row r="143" ht="16.5" spans="1:3">
      <c r="A143" s="34" t="str">
        <f>"880575"</f>
        <v>880575</v>
      </c>
      <c r="B143" s="34" t="s">
        <v>461</v>
      </c>
      <c r="C143" s="34" t="s">
        <v>462</v>
      </c>
    </row>
    <row r="144" ht="16.5" spans="1:3">
      <c r="A144" s="34" t="str">
        <f>"880923"</f>
        <v>880923</v>
      </c>
      <c r="B144" s="34" t="s">
        <v>463</v>
      </c>
      <c r="C144" s="34" t="s">
        <v>464</v>
      </c>
    </row>
    <row r="145" ht="16.5" spans="1:3">
      <c r="A145" s="34" t="str">
        <f>"880910"</f>
        <v>880910</v>
      </c>
      <c r="B145" s="34" t="s">
        <v>465</v>
      </c>
      <c r="C145" s="34" t="s">
        <v>466</v>
      </c>
    </row>
    <row r="146" ht="16.5" spans="1:3">
      <c r="A146" s="34" t="str">
        <f>"880974"</f>
        <v>880974</v>
      </c>
      <c r="B146" s="34" t="s">
        <v>467</v>
      </c>
      <c r="C146" s="34" t="s">
        <v>468</v>
      </c>
    </row>
    <row r="147" ht="16.5" spans="1:3">
      <c r="A147" s="34" t="str">
        <f>"880754"</f>
        <v>880754</v>
      </c>
      <c r="B147" s="34" t="s">
        <v>469</v>
      </c>
      <c r="C147" s="34" t="s">
        <v>470</v>
      </c>
    </row>
    <row r="148" ht="16.5" spans="1:3">
      <c r="A148" s="34" t="str">
        <f>"880497"</f>
        <v>880497</v>
      </c>
      <c r="B148" s="34" t="s">
        <v>471</v>
      </c>
      <c r="C148" s="34" t="s">
        <v>472</v>
      </c>
    </row>
    <row r="149" ht="16.5" spans="1:3">
      <c r="A149" s="34" t="str">
        <f>"880423"</f>
        <v>880423</v>
      </c>
      <c r="B149" s="34" t="s">
        <v>473</v>
      </c>
      <c r="C149" s="34" t="s">
        <v>474</v>
      </c>
    </row>
    <row r="150" ht="16.5" spans="1:3">
      <c r="A150" s="34" t="str">
        <f>"399376"</f>
        <v>399376</v>
      </c>
      <c r="B150" s="34" t="s">
        <v>475</v>
      </c>
      <c r="C150" s="34" t="s">
        <v>333</v>
      </c>
    </row>
    <row r="151" ht="16.5" spans="1:3">
      <c r="A151" s="34" t="str">
        <f>"399374"</f>
        <v>399374</v>
      </c>
      <c r="B151" s="34" t="s">
        <v>476</v>
      </c>
      <c r="C151" s="34" t="s">
        <v>333</v>
      </c>
    </row>
    <row r="152" ht="16.5" spans="1:3">
      <c r="A152" s="34" t="str">
        <f>"399366"</f>
        <v>399366</v>
      </c>
      <c r="B152" s="34" t="s">
        <v>477</v>
      </c>
      <c r="C152" s="34" t="s">
        <v>333</v>
      </c>
    </row>
    <row r="153" ht="16.5" spans="1:3">
      <c r="A153" s="34" t="str">
        <f>"399365"</f>
        <v>399365</v>
      </c>
      <c r="B153" s="34" t="s">
        <v>478</v>
      </c>
      <c r="C153" s="34" t="s">
        <v>333</v>
      </c>
    </row>
    <row r="154" ht="16.5" spans="1:3">
      <c r="A154" s="34" t="str">
        <f>"399361"</f>
        <v>399361</v>
      </c>
      <c r="B154" s="34" t="s">
        <v>479</v>
      </c>
      <c r="C154" s="34" t="s">
        <v>333</v>
      </c>
    </row>
    <row r="155" ht="16.5" spans="1:3">
      <c r="A155" s="34" t="str">
        <f>"399019"</f>
        <v>399019</v>
      </c>
      <c r="B155" s="34" t="s">
        <v>480</v>
      </c>
      <c r="C155" s="34" t="s">
        <v>333</v>
      </c>
    </row>
    <row r="156" ht="16.5" spans="1:3">
      <c r="A156" s="34" t="str">
        <f>"399018"</f>
        <v>399018</v>
      </c>
      <c r="B156" s="34" t="s">
        <v>481</v>
      </c>
      <c r="C156" s="34" t="s">
        <v>333</v>
      </c>
    </row>
    <row r="157" ht="16.5" spans="1:3">
      <c r="A157" s="34" t="str">
        <f>"880890"</f>
        <v>880890</v>
      </c>
      <c r="B157" s="34" t="s">
        <v>482</v>
      </c>
      <c r="C157" s="34" t="s">
        <v>333</v>
      </c>
    </row>
    <row r="158" ht="16.5" spans="1:3">
      <c r="A158" s="34" t="str">
        <f>"000690"</f>
        <v>000690</v>
      </c>
      <c r="B158" s="34" t="s">
        <v>483</v>
      </c>
      <c r="C158" s="34" t="s">
        <v>333</v>
      </c>
    </row>
    <row r="159" ht="16.5" spans="1:3">
      <c r="A159" s="34" t="str">
        <f>"000685"</f>
        <v>000685</v>
      </c>
      <c r="B159" s="34" t="s">
        <v>484</v>
      </c>
      <c r="C159" s="34" t="s">
        <v>333</v>
      </c>
    </row>
    <row r="160" ht="16.5" spans="1:3">
      <c r="A160" s="34" t="str">
        <f>"000682"</f>
        <v>000682</v>
      </c>
      <c r="B160" s="34" t="s">
        <v>485</v>
      </c>
      <c r="C160" s="34" t="s">
        <v>333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workbookViewId="0">
      <selection activeCell="A3" sqref="A3:R26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486</v>
      </c>
      <c r="B1" s="2"/>
      <c r="C1" s="2"/>
      <c r="D1" s="2"/>
      <c r="E1" s="2"/>
      <c r="F1" s="2"/>
      <c r="G1" s="2"/>
      <c r="H1" s="2"/>
      <c r="I1" s="2"/>
      <c r="J1" s="21"/>
      <c r="K1" s="1" t="s">
        <v>487</v>
      </c>
      <c r="L1" s="1"/>
      <c r="M1" s="1"/>
      <c r="N1" s="1"/>
      <c r="O1" s="1"/>
      <c r="P1" s="1"/>
      <c r="Q1" s="1"/>
      <c r="R1" s="1"/>
    </row>
    <row r="2" ht="22.5" spans="1:18">
      <c r="A2" s="3" t="s">
        <v>488</v>
      </c>
      <c r="B2" s="4" t="s">
        <v>489</v>
      </c>
      <c r="C2" s="4" t="s">
        <v>490</v>
      </c>
      <c r="D2" s="4" t="s">
        <v>491</v>
      </c>
      <c r="E2" s="4" t="s">
        <v>492</v>
      </c>
      <c r="F2" s="4" t="s">
        <v>493</v>
      </c>
      <c r="G2" s="4" t="s">
        <v>494</v>
      </c>
      <c r="H2" s="4" t="s">
        <v>495</v>
      </c>
      <c r="I2" s="4" t="s">
        <v>496</v>
      </c>
      <c r="J2" s="22" t="s">
        <v>497</v>
      </c>
      <c r="K2" s="15" t="s">
        <v>498</v>
      </c>
      <c r="L2" s="15" t="s">
        <v>499</v>
      </c>
      <c r="M2" s="15" t="s">
        <v>500</v>
      </c>
      <c r="N2" s="15" t="s">
        <v>501</v>
      </c>
      <c r="O2" s="15" t="s">
        <v>502</v>
      </c>
      <c r="P2" s="15" t="s">
        <v>503</v>
      </c>
      <c r="Q2" s="15" t="s">
        <v>504</v>
      </c>
      <c r="R2" s="15" t="s">
        <v>505</v>
      </c>
    </row>
    <row r="3" ht="16.5" spans="1:18">
      <c r="A3" s="19">
        <v>3</v>
      </c>
      <c r="B3" s="19" t="s">
        <v>506</v>
      </c>
      <c r="C3" s="19">
        <v>224.595</v>
      </c>
      <c r="D3" s="19">
        <v>248.506</v>
      </c>
      <c r="E3" s="19">
        <v>1</v>
      </c>
      <c r="F3" s="20">
        <v>0</v>
      </c>
      <c r="G3" s="20">
        <v>0</v>
      </c>
      <c r="H3" s="20">
        <v>1</v>
      </c>
      <c r="I3" s="20">
        <v>2.459</v>
      </c>
      <c r="J3" s="20">
        <v>11.844</v>
      </c>
      <c r="K3" s="23">
        <v>4</v>
      </c>
      <c r="L3" s="23">
        <v>2</v>
      </c>
      <c r="M3" s="23">
        <v>-1</v>
      </c>
      <c r="N3" s="23">
        <v>1</v>
      </c>
      <c r="O3" s="23">
        <v>0</v>
      </c>
      <c r="P3" s="23">
        <v>14.405</v>
      </c>
      <c r="Q3" s="23">
        <v>1</v>
      </c>
      <c r="R3" s="23">
        <v>0</v>
      </c>
    </row>
    <row r="4" ht="16.5" spans="1:18">
      <c r="A4" s="19">
        <v>5</v>
      </c>
      <c r="B4" s="19" t="s">
        <v>507</v>
      </c>
      <c r="C4" s="19">
        <v>2090.414</v>
      </c>
      <c r="D4" s="19">
        <v>2369.855</v>
      </c>
      <c r="E4" s="19">
        <v>1</v>
      </c>
      <c r="F4" s="20">
        <v>0</v>
      </c>
      <c r="G4" s="20">
        <v>0</v>
      </c>
      <c r="H4" s="20">
        <v>1</v>
      </c>
      <c r="I4" s="20">
        <v>0.757</v>
      </c>
      <c r="J4" s="20">
        <v>12.459</v>
      </c>
      <c r="K4" s="23">
        <v>4</v>
      </c>
      <c r="L4" s="23">
        <v>2</v>
      </c>
      <c r="M4" s="23">
        <v>-1</v>
      </c>
      <c r="N4" s="23">
        <v>1</v>
      </c>
      <c r="O4" s="23">
        <v>0</v>
      </c>
      <c r="P4" s="23">
        <v>15.097</v>
      </c>
      <c r="Q4" s="23">
        <v>1</v>
      </c>
      <c r="R4" s="23">
        <v>0</v>
      </c>
    </row>
    <row r="5" ht="16.5" spans="1:18">
      <c r="A5" s="19">
        <v>6</v>
      </c>
      <c r="B5" s="19" t="s">
        <v>508</v>
      </c>
      <c r="C5" s="19">
        <v>4087.24</v>
      </c>
      <c r="D5" s="19">
        <v>4934.464</v>
      </c>
      <c r="E5" s="19">
        <v>1</v>
      </c>
      <c r="F5" s="20">
        <v>0</v>
      </c>
      <c r="G5" s="20">
        <v>0</v>
      </c>
      <c r="H5" s="20">
        <v>1</v>
      </c>
      <c r="I5" s="20">
        <v>0.095</v>
      </c>
      <c r="J5" s="20">
        <v>17.248</v>
      </c>
      <c r="K5" s="23">
        <v>4</v>
      </c>
      <c r="L5" s="23">
        <v>2</v>
      </c>
      <c r="M5" s="23">
        <v>-1</v>
      </c>
      <c r="N5" s="23">
        <v>1</v>
      </c>
      <c r="O5" s="23">
        <v>0</v>
      </c>
      <c r="P5" s="23">
        <v>1.111</v>
      </c>
      <c r="Q5" s="23">
        <v>0</v>
      </c>
      <c r="R5" s="23">
        <v>0</v>
      </c>
    </row>
    <row r="6" ht="16.5" spans="1:18">
      <c r="A6" s="19">
        <v>10</v>
      </c>
      <c r="B6" s="19" t="s">
        <v>509</v>
      </c>
      <c r="C6" s="19">
        <v>7310.162</v>
      </c>
      <c r="D6" s="19">
        <v>7978.384</v>
      </c>
      <c r="E6" s="19">
        <v>1</v>
      </c>
      <c r="F6" s="20">
        <v>0</v>
      </c>
      <c r="G6" s="20">
        <v>0</v>
      </c>
      <c r="H6" s="20">
        <v>1</v>
      </c>
      <c r="I6" s="20">
        <v>1.932</v>
      </c>
      <c r="J6" s="20">
        <v>10.146</v>
      </c>
      <c r="K6" s="23">
        <v>4</v>
      </c>
      <c r="L6" s="23">
        <v>2</v>
      </c>
      <c r="M6" s="23">
        <v>-1</v>
      </c>
      <c r="N6" s="23">
        <v>1</v>
      </c>
      <c r="O6" s="23">
        <v>0</v>
      </c>
      <c r="P6" s="23">
        <v>15.82</v>
      </c>
      <c r="Q6" s="23">
        <v>1</v>
      </c>
      <c r="R6" s="23">
        <v>0</v>
      </c>
    </row>
    <row r="7" ht="16.5" spans="1:18">
      <c r="A7" s="19">
        <v>11</v>
      </c>
      <c r="B7" s="19" t="s">
        <v>510</v>
      </c>
      <c r="C7" s="19">
        <v>5638.015</v>
      </c>
      <c r="D7" s="19">
        <v>6095.581</v>
      </c>
      <c r="E7" s="19">
        <v>1</v>
      </c>
      <c r="F7" s="20">
        <v>0</v>
      </c>
      <c r="G7" s="20">
        <v>0</v>
      </c>
      <c r="H7" s="20">
        <v>1</v>
      </c>
      <c r="I7" s="20">
        <v>4.045</v>
      </c>
      <c r="J7" s="20">
        <v>11.248</v>
      </c>
      <c r="K7" s="23">
        <v>4</v>
      </c>
      <c r="L7" s="23">
        <v>2</v>
      </c>
      <c r="M7" s="23">
        <v>-1</v>
      </c>
      <c r="N7" s="23">
        <v>1</v>
      </c>
      <c r="O7" s="23">
        <v>0</v>
      </c>
      <c r="P7" s="23">
        <v>12.285</v>
      </c>
      <c r="Q7" s="23">
        <v>0</v>
      </c>
      <c r="R7" s="23">
        <v>0</v>
      </c>
    </row>
    <row r="8" ht="16.5" spans="1:18">
      <c r="A8" s="19">
        <v>16</v>
      </c>
      <c r="B8" s="19" t="s">
        <v>511</v>
      </c>
      <c r="C8" s="19">
        <v>2288.274</v>
      </c>
      <c r="D8" s="19">
        <v>2502.816</v>
      </c>
      <c r="E8" s="19">
        <v>1</v>
      </c>
      <c r="F8" s="20">
        <v>0</v>
      </c>
      <c r="G8" s="20">
        <v>0</v>
      </c>
      <c r="H8" s="20">
        <v>1</v>
      </c>
      <c r="I8" s="20">
        <v>2.655</v>
      </c>
      <c r="J8" s="20">
        <v>11</v>
      </c>
      <c r="K8" s="23">
        <v>4</v>
      </c>
      <c r="L8" s="23">
        <v>2</v>
      </c>
      <c r="M8" s="23">
        <v>-1</v>
      </c>
      <c r="N8" s="23">
        <v>1</v>
      </c>
      <c r="O8" s="23">
        <v>0</v>
      </c>
      <c r="P8" s="23">
        <v>32.561</v>
      </c>
      <c r="Q8" s="23">
        <v>0</v>
      </c>
      <c r="R8" s="23">
        <v>0</v>
      </c>
    </row>
    <row r="9" ht="16.5" spans="1:18">
      <c r="A9" s="19">
        <v>19</v>
      </c>
      <c r="B9" s="19" t="s">
        <v>512</v>
      </c>
      <c r="C9" s="19">
        <v>992.241</v>
      </c>
      <c r="D9" s="19">
        <v>1077.165</v>
      </c>
      <c r="E9" s="19">
        <v>1</v>
      </c>
      <c r="F9" s="20">
        <v>0</v>
      </c>
      <c r="G9" s="20">
        <v>0</v>
      </c>
      <c r="H9" s="20">
        <v>1</v>
      </c>
      <c r="I9" s="20">
        <v>1.263</v>
      </c>
      <c r="J9" s="20">
        <v>9.047</v>
      </c>
      <c r="K9" s="23">
        <v>4</v>
      </c>
      <c r="L9" s="23">
        <v>2</v>
      </c>
      <c r="M9" s="23">
        <v>-1</v>
      </c>
      <c r="N9" s="23">
        <v>1</v>
      </c>
      <c r="O9" s="23">
        <v>0</v>
      </c>
      <c r="P9" s="23">
        <v>19.724</v>
      </c>
      <c r="Q9" s="23">
        <v>0</v>
      </c>
      <c r="R9" s="23">
        <v>0</v>
      </c>
    </row>
    <row r="10" ht="16.5" spans="1:18">
      <c r="A10" s="19">
        <v>21</v>
      </c>
      <c r="B10" s="19" t="s">
        <v>513</v>
      </c>
      <c r="C10" s="19">
        <v>879.143</v>
      </c>
      <c r="D10" s="19">
        <v>953.838</v>
      </c>
      <c r="E10" s="19">
        <v>1</v>
      </c>
      <c r="F10" s="20">
        <v>0</v>
      </c>
      <c r="G10" s="20">
        <v>0</v>
      </c>
      <c r="H10" s="20">
        <v>1</v>
      </c>
      <c r="I10" s="20">
        <v>1.714</v>
      </c>
      <c r="J10" s="20">
        <v>9.411</v>
      </c>
      <c r="K10" s="23">
        <v>4</v>
      </c>
      <c r="L10" s="23">
        <v>2</v>
      </c>
      <c r="M10" s="23">
        <v>-1</v>
      </c>
      <c r="N10" s="23">
        <v>1</v>
      </c>
      <c r="O10" s="23">
        <v>0</v>
      </c>
      <c r="P10" s="23">
        <v>5.677</v>
      </c>
      <c r="Q10" s="23">
        <v>0</v>
      </c>
      <c r="R10" s="23">
        <v>0</v>
      </c>
    </row>
    <row r="11" ht="16.5" spans="1:18">
      <c r="A11" s="19">
        <v>40</v>
      </c>
      <c r="B11" s="19" t="s">
        <v>514</v>
      </c>
      <c r="C11" s="19">
        <v>3005.583</v>
      </c>
      <c r="D11" s="19">
        <v>3223.151</v>
      </c>
      <c r="E11" s="19">
        <v>1</v>
      </c>
      <c r="F11" s="20">
        <v>0</v>
      </c>
      <c r="G11" s="20">
        <v>0</v>
      </c>
      <c r="H11" s="20">
        <v>1</v>
      </c>
      <c r="I11" s="20">
        <v>1.18</v>
      </c>
      <c r="J11" s="20">
        <v>7.85</v>
      </c>
      <c r="K11" s="23">
        <v>4</v>
      </c>
      <c r="L11" s="23">
        <v>2</v>
      </c>
      <c r="M11" s="23">
        <v>-1</v>
      </c>
      <c r="N11" s="23">
        <v>1</v>
      </c>
      <c r="O11" s="23">
        <v>0</v>
      </c>
      <c r="P11" s="23">
        <v>31.971</v>
      </c>
      <c r="Q11" s="23">
        <v>1</v>
      </c>
      <c r="R11" s="23">
        <v>0</v>
      </c>
    </row>
    <row r="12" ht="16.5" spans="1:18">
      <c r="A12" s="19">
        <v>42</v>
      </c>
      <c r="B12" s="19" t="s">
        <v>515</v>
      </c>
      <c r="C12" s="19">
        <v>1515.595</v>
      </c>
      <c r="D12" s="19">
        <v>1628.236</v>
      </c>
      <c r="E12" s="19">
        <v>1</v>
      </c>
      <c r="F12" s="20">
        <v>0</v>
      </c>
      <c r="G12" s="20">
        <v>0</v>
      </c>
      <c r="H12" s="20">
        <v>1</v>
      </c>
      <c r="I12" s="20">
        <v>0.738</v>
      </c>
      <c r="J12" s="20">
        <v>7.605</v>
      </c>
      <c r="K12" s="23">
        <v>4</v>
      </c>
      <c r="L12" s="23">
        <v>2</v>
      </c>
      <c r="M12" s="23">
        <v>-1</v>
      </c>
      <c r="N12" s="23">
        <v>1</v>
      </c>
      <c r="O12" s="23">
        <v>0</v>
      </c>
      <c r="P12" s="23">
        <v>41.259</v>
      </c>
      <c r="Q12" s="23">
        <v>1</v>
      </c>
      <c r="R12" s="23">
        <v>0</v>
      </c>
    </row>
    <row r="13" ht="16.5" spans="1:18">
      <c r="A13" s="19">
        <v>43</v>
      </c>
      <c r="B13" s="19" t="s">
        <v>516</v>
      </c>
      <c r="C13" s="19">
        <v>1762.357</v>
      </c>
      <c r="D13" s="19">
        <v>1935.485</v>
      </c>
      <c r="E13" s="19">
        <v>1</v>
      </c>
      <c r="F13" s="20">
        <v>0</v>
      </c>
      <c r="G13" s="20">
        <v>0</v>
      </c>
      <c r="H13" s="20">
        <v>1</v>
      </c>
      <c r="I13" s="20">
        <v>2.377</v>
      </c>
      <c r="J13" s="20">
        <v>11.11</v>
      </c>
      <c r="K13" s="23">
        <v>4</v>
      </c>
      <c r="L13" s="23">
        <v>2</v>
      </c>
      <c r="M13" s="23">
        <v>-1</v>
      </c>
      <c r="N13" s="23">
        <v>1</v>
      </c>
      <c r="O13" s="23">
        <v>0</v>
      </c>
      <c r="P13" s="23">
        <v>44.606</v>
      </c>
      <c r="Q13" s="23">
        <v>1</v>
      </c>
      <c r="R13" s="23">
        <v>0</v>
      </c>
    </row>
    <row r="14" ht="16.5" spans="1:18">
      <c r="A14" s="19">
        <v>44</v>
      </c>
      <c r="B14" s="19" t="s">
        <v>517</v>
      </c>
      <c r="C14" s="19">
        <v>3295.216</v>
      </c>
      <c r="D14" s="19">
        <v>3599.248</v>
      </c>
      <c r="E14" s="19">
        <v>1</v>
      </c>
      <c r="F14" s="20">
        <v>0</v>
      </c>
      <c r="G14" s="20">
        <v>0</v>
      </c>
      <c r="H14" s="20">
        <v>1</v>
      </c>
      <c r="I14" s="20">
        <v>0.668</v>
      </c>
      <c r="J14" s="20">
        <v>9.059</v>
      </c>
      <c r="K14" s="23">
        <v>4</v>
      </c>
      <c r="L14" s="23">
        <v>0</v>
      </c>
      <c r="M14" s="23">
        <v>0</v>
      </c>
      <c r="N14" s="23">
        <v>0</v>
      </c>
      <c r="O14" s="23">
        <v>0</v>
      </c>
      <c r="P14" s="23">
        <v>-0.103</v>
      </c>
      <c r="Q14" s="23">
        <v>0</v>
      </c>
      <c r="R14" s="23">
        <v>0</v>
      </c>
    </row>
    <row r="15" ht="16.5" spans="1:18">
      <c r="A15" s="19">
        <v>47</v>
      </c>
      <c r="B15" s="19" t="s">
        <v>518</v>
      </c>
      <c r="C15" s="19">
        <v>2853.623</v>
      </c>
      <c r="D15" s="19">
        <v>3138.297</v>
      </c>
      <c r="E15" s="19">
        <v>1</v>
      </c>
      <c r="F15" s="20">
        <v>0</v>
      </c>
      <c r="G15" s="20">
        <v>0</v>
      </c>
      <c r="H15" s="20">
        <v>1</v>
      </c>
      <c r="I15" s="20">
        <v>1.145</v>
      </c>
      <c r="J15" s="20">
        <v>10.112</v>
      </c>
      <c r="K15" s="23">
        <v>4</v>
      </c>
      <c r="L15" s="23">
        <v>2</v>
      </c>
      <c r="M15" s="23">
        <v>-1</v>
      </c>
      <c r="N15" s="23">
        <v>1</v>
      </c>
      <c r="O15" s="23">
        <v>0</v>
      </c>
      <c r="P15" s="23">
        <v>0.005</v>
      </c>
      <c r="Q15" s="23">
        <v>0</v>
      </c>
      <c r="R15" s="23">
        <v>0</v>
      </c>
    </row>
    <row r="16" ht="16.5" spans="1:18">
      <c r="A16" s="19">
        <v>48</v>
      </c>
      <c r="B16" s="19" t="s">
        <v>519</v>
      </c>
      <c r="C16" s="19">
        <v>1196.945</v>
      </c>
      <c r="D16" s="19">
        <v>1324.024</v>
      </c>
      <c r="E16" s="19">
        <v>1</v>
      </c>
      <c r="F16" s="20">
        <v>0</v>
      </c>
      <c r="G16" s="20">
        <v>0</v>
      </c>
      <c r="H16" s="20">
        <v>1</v>
      </c>
      <c r="I16" s="20">
        <v>1.646</v>
      </c>
      <c r="J16" s="20">
        <v>11.086</v>
      </c>
      <c r="K16" s="23">
        <v>4</v>
      </c>
      <c r="L16" s="23">
        <v>2</v>
      </c>
      <c r="M16" s="23">
        <v>-1</v>
      </c>
      <c r="N16" s="23">
        <v>1</v>
      </c>
      <c r="O16" s="23">
        <v>0</v>
      </c>
      <c r="P16" s="23">
        <v>7.934</v>
      </c>
      <c r="Q16" s="23">
        <v>1</v>
      </c>
      <c r="R16" s="23">
        <v>0</v>
      </c>
    </row>
    <row r="17" ht="16.5" spans="1:18">
      <c r="A17" s="19">
        <v>49</v>
      </c>
      <c r="B17" s="19" t="s">
        <v>520</v>
      </c>
      <c r="C17" s="19">
        <v>1264.433</v>
      </c>
      <c r="D17" s="19">
        <v>1445.264</v>
      </c>
      <c r="E17" s="19">
        <v>1</v>
      </c>
      <c r="F17" s="20">
        <v>0</v>
      </c>
      <c r="G17" s="20">
        <v>0</v>
      </c>
      <c r="H17" s="20">
        <v>1</v>
      </c>
      <c r="I17" s="20">
        <v>0.276</v>
      </c>
      <c r="J17" s="20">
        <v>12.754</v>
      </c>
      <c r="K17" s="23">
        <v>4</v>
      </c>
      <c r="L17" s="23">
        <v>2</v>
      </c>
      <c r="M17" s="23">
        <v>-1</v>
      </c>
      <c r="N17" s="23">
        <v>1</v>
      </c>
      <c r="O17" s="23">
        <v>0</v>
      </c>
      <c r="P17" s="23">
        <v>11.895</v>
      </c>
      <c r="Q17" s="23">
        <v>1</v>
      </c>
      <c r="R17" s="23">
        <v>0</v>
      </c>
    </row>
    <row r="18" ht="16.5" spans="1:18">
      <c r="A18" s="19">
        <v>50</v>
      </c>
      <c r="B18" s="19" t="s">
        <v>521</v>
      </c>
      <c r="C18" s="19">
        <v>1768.751</v>
      </c>
      <c r="D18" s="19">
        <v>1924.235</v>
      </c>
      <c r="E18" s="19">
        <v>1</v>
      </c>
      <c r="F18" s="20">
        <v>0</v>
      </c>
      <c r="G18" s="20">
        <v>0</v>
      </c>
      <c r="H18" s="20">
        <v>1</v>
      </c>
      <c r="I18" s="20">
        <v>2.152</v>
      </c>
      <c r="J18" s="20">
        <v>10.059</v>
      </c>
      <c r="K18" s="23">
        <v>4</v>
      </c>
      <c r="L18" s="23">
        <v>2</v>
      </c>
      <c r="M18" s="23">
        <v>-1</v>
      </c>
      <c r="N18" s="23">
        <v>1</v>
      </c>
      <c r="O18" s="23">
        <v>0</v>
      </c>
      <c r="P18" s="23">
        <v>12.174</v>
      </c>
      <c r="Q18" s="23">
        <v>1</v>
      </c>
      <c r="R18" s="23">
        <v>0</v>
      </c>
    </row>
    <row r="19" ht="16.5" spans="1:18">
      <c r="A19" s="19">
        <v>51</v>
      </c>
      <c r="B19" s="19" t="s">
        <v>522</v>
      </c>
      <c r="C19" s="19">
        <v>6720.97</v>
      </c>
      <c r="D19" s="19">
        <v>7421.961</v>
      </c>
      <c r="E19" s="19">
        <v>1</v>
      </c>
      <c r="F19" s="20">
        <v>0</v>
      </c>
      <c r="G19" s="20">
        <v>0</v>
      </c>
      <c r="H19" s="20">
        <v>1</v>
      </c>
      <c r="I19" s="20">
        <v>0.949</v>
      </c>
      <c r="J19" s="20">
        <v>10.304</v>
      </c>
      <c r="K19" s="23">
        <v>4</v>
      </c>
      <c r="L19" s="23">
        <v>2</v>
      </c>
      <c r="M19" s="23">
        <v>-1</v>
      </c>
      <c r="N19" s="23">
        <v>1</v>
      </c>
      <c r="O19" s="23">
        <v>0</v>
      </c>
      <c r="P19" s="23">
        <v>14.019</v>
      </c>
      <c r="Q19" s="23">
        <v>0</v>
      </c>
      <c r="R19" s="23">
        <v>0</v>
      </c>
    </row>
    <row r="20" ht="16.5" spans="1:18">
      <c r="A20" s="19">
        <v>55</v>
      </c>
      <c r="B20" s="19" t="s">
        <v>523</v>
      </c>
      <c r="C20" s="19">
        <v>1159.718</v>
      </c>
      <c r="D20" s="19">
        <v>1311.116</v>
      </c>
      <c r="E20" s="19">
        <v>1</v>
      </c>
      <c r="F20" s="20">
        <v>0</v>
      </c>
      <c r="G20" s="20">
        <v>0</v>
      </c>
      <c r="H20" s="20">
        <v>1</v>
      </c>
      <c r="I20" s="20">
        <v>0.666</v>
      </c>
      <c r="J20" s="20">
        <v>12.136</v>
      </c>
      <c r="K20" s="23">
        <v>4</v>
      </c>
      <c r="L20" s="23">
        <v>2</v>
      </c>
      <c r="M20" s="23">
        <v>-1</v>
      </c>
      <c r="N20" s="23">
        <v>1</v>
      </c>
      <c r="O20" s="23">
        <v>0</v>
      </c>
      <c r="P20" s="23">
        <v>4.13</v>
      </c>
      <c r="Q20" s="23">
        <v>1</v>
      </c>
      <c r="R20" s="23">
        <v>0</v>
      </c>
    </row>
    <row r="21" ht="16.5" spans="1:18">
      <c r="A21" s="19">
        <v>58</v>
      </c>
      <c r="B21" s="19" t="s">
        <v>524</v>
      </c>
      <c r="C21" s="19">
        <v>3759.004</v>
      </c>
      <c r="D21" s="19">
        <v>4102.594</v>
      </c>
      <c r="E21" s="19">
        <v>1</v>
      </c>
      <c r="F21" s="20">
        <v>0</v>
      </c>
      <c r="G21" s="20">
        <v>0</v>
      </c>
      <c r="H21" s="20">
        <v>1</v>
      </c>
      <c r="I21" s="20">
        <v>0.825</v>
      </c>
      <c r="J21" s="20">
        <v>9.131</v>
      </c>
      <c r="K21" s="23">
        <v>3</v>
      </c>
      <c r="L21" s="23">
        <v>2</v>
      </c>
      <c r="M21" s="23">
        <v>-1</v>
      </c>
      <c r="N21" s="23">
        <v>1</v>
      </c>
      <c r="O21" s="23">
        <v>0</v>
      </c>
      <c r="P21" s="23">
        <v>7.74</v>
      </c>
      <c r="Q21" s="23">
        <v>1</v>
      </c>
      <c r="R21" s="23">
        <v>0</v>
      </c>
    </row>
    <row r="22" ht="16.5" spans="1:18">
      <c r="A22" s="19">
        <v>62</v>
      </c>
      <c r="B22" s="19" t="s">
        <v>525</v>
      </c>
      <c r="C22" s="19">
        <v>1561.12</v>
      </c>
      <c r="D22" s="19">
        <v>1682.042</v>
      </c>
      <c r="E22" s="19">
        <v>1</v>
      </c>
      <c r="F22" s="20">
        <v>0</v>
      </c>
      <c r="G22" s="20">
        <v>0</v>
      </c>
      <c r="H22" s="20">
        <v>1</v>
      </c>
      <c r="I22" s="20">
        <v>1.113</v>
      </c>
      <c r="J22" s="20">
        <v>8.222</v>
      </c>
      <c r="K22" s="23">
        <v>4</v>
      </c>
      <c r="L22" s="23">
        <v>2</v>
      </c>
      <c r="M22" s="23">
        <v>-1</v>
      </c>
      <c r="N22" s="23">
        <v>1</v>
      </c>
      <c r="O22" s="23">
        <v>0</v>
      </c>
      <c r="P22" s="23">
        <v>3.52</v>
      </c>
      <c r="Q22" s="23">
        <v>1</v>
      </c>
      <c r="R22" s="23">
        <v>0</v>
      </c>
    </row>
    <row r="23" ht="16.5" spans="1:18">
      <c r="A23" s="19">
        <v>65</v>
      </c>
      <c r="B23" s="19" t="s">
        <v>526</v>
      </c>
      <c r="C23" s="19">
        <v>2718.319</v>
      </c>
      <c r="D23" s="19">
        <v>3037.435</v>
      </c>
      <c r="E23" s="19">
        <v>1</v>
      </c>
      <c r="F23" s="20">
        <v>0</v>
      </c>
      <c r="G23" s="20">
        <v>0</v>
      </c>
      <c r="H23" s="20">
        <v>1</v>
      </c>
      <c r="I23" s="20">
        <v>0.803</v>
      </c>
      <c r="J23" s="20">
        <v>11.225</v>
      </c>
      <c r="K23" s="23">
        <v>4</v>
      </c>
      <c r="L23" s="23">
        <v>2</v>
      </c>
      <c r="M23" s="23">
        <v>-1</v>
      </c>
      <c r="N23" s="23">
        <v>1</v>
      </c>
      <c r="O23" s="23">
        <v>0</v>
      </c>
      <c r="P23" s="23">
        <v>0.003</v>
      </c>
      <c r="Q23" s="23">
        <v>0</v>
      </c>
      <c r="R23" s="23">
        <v>0</v>
      </c>
    </row>
    <row r="24" ht="16.5" spans="1:18">
      <c r="A24" s="19">
        <v>67</v>
      </c>
      <c r="B24" s="19" t="s">
        <v>527</v>
      </c>
      <c r="C24" s="19">
        <v>5157.665</v>
      </c>
      <c r="D24" s="19">
        <v>5757.893</v>
      </c>
      <c r="E24" s="19">
        <v>1</v>
      </c>
      <c r="F24" s="20">
        <v>0</v>
      </c>
      <c r="G24" s="20">
        <v>0</v>
      </c>
      <c r="H24" s="20">
        <v>1</v>
      </c>
      <c r="I24" s="20">
        <v>0.723</v>
      </c>
      <c r="J24" s="20">
        <v>11.072</v>
      </c>
      <c r="K24" s="23">
        <v>4</v>
      </c>
      <c r="L24" s="23">
        <v>2</v>
      </c>
      <c r="M24" s="23">
        <v>-1</v>
      </c>
      <c r="N24" s="23">
        <v>1</v>
      </c>
      <c r="O24" s="23">
        <v>0</v>
      </c>
      <c r="P24" s="23">
        <v>6.561</v>
      </c>
      <c r="Q24" s="23">
        <v>0</v>
      </c>
      <c r="R24" s="23">
        <v>0</v>
      </c>
    </row>
    <row r="25" ht="16.5" spans="1:18">
      <c r="A25" s="19">
        <v>78</v>
      </c>
      <c r="B25" s="19" t="s">
        <v>528</v>
      </c>
      <c r="C25" s="19">
        <v>2424.569</v>
      </c>
      <c r="D25" s="19">
        <v>2614.205</v>
      </c>
      <c r="E25" s="19">
        <v>1</v>
      </c>
      <c r="F25" s="20">
        <v>0</v>
      </c>
      <c r="G25" s="20">
        <v>0</v>
      </c>
      <c r="H25" s="20">
        <v>1</v>
      </c>
      <c r="I25" s="20">
        <v>1.279</v>
      </c>
      <c r="J25" s="20">
        <v>8.44</v>
      </c>
      <c r="K25" s="23">
        <v>4</v>
      </c>
      <c r="L25" s="23">
        <v>2</v>
      </c>
      <c r="M25" s="23">
        <v>-1</v>
      </c>
      <c r="N25" s="23">
        <v>1</v>
      </c>
      <c r="O25" s="23">
        <v>0</v>
      </c>
      <c r="P25" s="23">
        <v>3.617</v>
      </c>
      <c r="Q25" s="23">
        <v>0</v>
      </c>
      <c r="R25" s="23">
        <v>0</v>
      </c>
    </row>
    <row r="26" ht="16.5" spans="1:18">
      <c r="A26" s="19">
        <v>98</v>
      </c>
      <c r="B26" s="19" t="s">
        <v>529</v>
      </c>
      <c r="C26" s="19">
        <v>4336.745</v>
      </c>
      <c r="D26" s="19">
        <v>4744.809</v>
      </c>
      <c r="E26" s="19">
        <v>1</v>
      </c>
      <c r="F26" s="20">
        <v>0</v>
      </c>
      <c r="G26" s="20">
        <v>0</v>
      </c>
      <c r="H26" s="20">
        <v>1</v>
      </c>
      <c r="I26" s="20">
        <v>1.398</v>
      </c>
      <c r="J26" s="20">
        <v>9.878</v>
      </c>
      <c r="K26" s="23">
        <v>4</v>
      </c>
      <c r="L26" s="23">
        <v>2</v>
      </c>
      <c r="M26" s="23">
        <v>-1</v>
      </c>
      <c r="N26" s="23">
        <v>1</v>
      </c>
      <c r="O26" s="23">
        <v>0</v>
      </c>
      <c r="P26" s="23">
        <v>5.368</v>
      </c>
      <c r="Q26" s="23">
        <v>0</v>
      </c>
      <c r="R26" s="23">
        <v>0</v>
      </c>
    </row>
    <row r="27" ht="16.5" spans="1:18">
      <c r="A27" s="19">
        <v>100</v>
      </c>
      <c r="B27" s="19" t="s">
        <v>530</v>
      </c>
      <c r="C27" s="19">
        <v>4813.719</v>
      </c>
      <c r="D27" s="19">
        <v>5286.431</v>
      </c>
      <c r="E27" s="19">
        <v>1</v>
      </c>
      <c r="F27" s="20">
        <v>0</v>
      </c>
      <c r="G27" s="20">
        <v>0</v>
      </c>
      <c r="H27" s="20">
        <v>1</v>
      </c>
      <c r="I27" s="20">
        <v>1.102</v>
      </c>
      <c r="J27" s="20">
        <v>9.946</v>
      </c>
      <c r="K27" s="23">
        <v>4</v>
      </c>
      <c r="L27" s="23">
        <v>2</v>
      </c>
      <c r="M27" s="23">
        <v>-1</v>
      </c>
      <c r="N27" s="23">
        <v>1</v>
      </c>
      <c r="O27" s="23">
        <v>0</v>
      </c>
      <c r="P27" s="23">
        <v>22.556</v>
      </c>
      <c r="Q27" s="23">
        <v>1</v>
      </c>
      <c r="R27" s="23">
        <v>0</v>
      </c>
    </row>
    <row r="28" ht="16.5" spans="1:18">
      <c r="A28" s="19">
        <v>110</v>
      </c>
      <c r="B28" s="19" t="s">
        <v>531</v>
      </c>
      <c r="C28" s="19">
        <v>3062.372</v>
      </c>
      <c r="D28" s="19">
        <v>3362.853</v>
      </c>
      <c r="E28" s="19">
        <v>1</v>
      </c>
      <c r="F28" s="20">
        <v>0</v>
      </c>
      <c r="G28" s="20">
        <v>0</v>
      </c>
      <c r="H28" s="20">
        <v>1</v>
      </c>
      <c r="I28" s="20">
        <v>0.975</v>
      </c>
      <c r="J28" s="20">
        <v>9.823</v>
      </c>
      <c r="K28" s="23">
        <v>4</v>
      </c>
      <c r="L28" s="23">
        <v>2</v>
      </c>
      <c r="M28" s="23">
        <v>-1</v>
      </c>
      <c r="N28" s="23">
        <v>1</v>
      </c>
      <c r="O28" s="23">
        <v>0</v>
      </c>
      <c r="P28" s="23">
        <v>8.759</v>
      </c>
      <c r="Q28" s="23">
        <v>1</v>
      </c>
      <c r="R28" s="23">
        <v>0</v>
      </c>
    </row>
    <row r="29" ht="16.5" spans="1:18">
      <c r="A29" s="19">
        <v>123</v>
      </c>
      <c r="B29" s="19" t="s">
        <v>532</v>
      </c>
      <c r="C29" s="19">
        <v>4469.217</v>
      </c>
      <c r="D29" s="19">
        <v>4973.311</v>
      </c>
      <c r="E29" s="19">
        <v>1</v>
      </c>
      <c r="F29" s="20">
        <v>0</v>
      </c>
      <c r="G29" s="20">
        <v>0</v>
      </c>
      <c r="H29" s="20">
        <v>1</v>
      </c>
      <c r="I29" s="20">
        <v>2.62</v>
      </c>
      <c r="J29" s="20">
        <v>12.491</v>
      </c>
      <c r="K29" s="23">
        <v>4</v>
      </c>
      <c r="L29" s="23">
        <v>2</v>
      </c>
      <c r="M29" s="23">
        <v>-1</v>
      </c>
      <c r="N29" s="23">
        <v>1</v>
      </c>
      <c r="O29" s="23">
        <v>0</v>
      </c>
      <c r="P29" s="23">
        <v>13.903</v>
      </c>
      <c r="Q29" s="23">
        <v>1</v>
      </c>
      <c r="R29" s="23">
        <v>0</v>
      </c>
    </row>
    <row r="30" ht="16.5" spans="1:18">
      <c r="A30" s="19">
        <v>125</v>
      </c>
      <c r="B30" s="19" t="s">
        <v>533</v>
      </c>
      <c r="C30" s="19">
        <v>9776.212</v>
      </c>
      <c r="D30" s="19">
        <v>10612.931</v>
      </c>
      <c r="E30" s="19">
        <v>1</v>
      </c>
      <c r="F30" s="20">
        <v>0</v>
      </c>
      <c r="G30" s="20">
        <v>0</v>
      </c>
      <c r="H30" s="20">
        <v>1</v>
      </c>
      <c r="I30" s="20">
        <v>1.404</v>
      </c>
      <c r="J30" s="20">
        <v>9.177</v>
      </c>
      <c r="K30" s="23">
        <v>4</v>
      </c>
      <c r="L30" s="23">
        <v>2</v>
      </c>
      <c r="M30" s="23">
        <v>-1</v>
      </c>
      <c r="N30" s="23">
        <v>1</v>
      </c>
      <c r="O30" s="23">
        <v>0</v>
      </c>
      <c r="P30" s="23">
        <v>9.384</v>
      </c>
      <c r="Q30" s="23">
        <v>0</v>
      </c>
      <c r="R30" s="23">
        <v>0</v>
      </c>
    </row>
    <row r="31" ht="16.5" spans="1:18">
      <c r="A31" s="19">
        <v>129</v>
      </c>
      <c r="B31" s="19" t="s">
        <v>534</v>
      </c>
      <c r="C31" s="19">
        <v>12806.283</v>
      </c>
      <c r="D31" s="19">
        <v>13765.845</v>
      </c>
      <c r="E31" s="19">
        <v>1</v>
      </c>
      <c r="F31" s="20">
        <v>0</v>
      </c>
      <c r="G31" s="20">
        <v>0</v>
      </c>
      <c r="H31" s="20">
        <v>1</v>
      </c>
      <c r="I31" s="20">
        <v>1.402</v>
      </c>
      <c r="J31" s="20">
        <v>8.275</v>
      </c>
      <c r="K31" s="23">
        <v>4</v>
      </c>
      <c r="L31" s="23">
        <v>2</v>
      </c>
      <c r="M31" s="23">
        <v>-1</v>
      </c>
      <c r="N31" s="23">
        <v>1</v>
      </c>
      <c r="O31" s="23">
        <v>0</v>
      </c>
      <c r="P31" s="23">
        <v>1.787</v>
      </c>
      <c r="Q31" s="23">
        <v>0</v>
      </c>
      <c r="R31" s="23">
        <v>0</v>
      </c>
    </row>
    <row r="32" ht="16.5" spans="1:18">
      <c r="A32" s="19">
        <v>135</v>
      </c>
      <c r="B32" s="19" t="s">
        <v>535</v>
      </c>
      <c r="C32" s="19">
        <v>4016.898</v>
      </c>
      <c r="D32" s="19">
        <v>4605.177</v>
      </c>
      <c r="E32" s="19">
        <v>1</v>
      </c>
      <c r="F32" s="20">
        <v>0</v>
      </c>
      <c r="G32" s="20">
        <v>0</v>
      </c>
      <c r="H32" s="20">
        <v>1</v>
      </c>
      <c r="I32" s="20">
        <v>4.544</v>
      </c>
      <c r="J32" s="20">
        <v>16.738</v>
      </c>
      <c r="K32" s="23">
        <v>4</v>
      </c>
      <c r="L32" s="23">
        <v>2</v>
      </c>
      <c r="M32" s="23">
        <v>-1</v>
      </c>
      <c r="N32" s="23">
        <v>1</v>
      </c>
      <c r="O32" s="23">
        <v>0</v>
      </c>
      <c r="P32" s="23">
        <v>10.047</v>
      </c>
      <c r="Q32" s="23">
        <v>1</v>
      </c>
      <c r="R32" s="23">
        <v>0</v>
      </c>
    </row>
    <row r="33" ht="16.5" spans="1:18">
      <c r="A33" s="19">
        <v>148</v>
      </c>
      <c r="B33" s="19" t="s">
        <v>536</v>
      </c>
      <c r="C33" s="19">
        <v>6816.397</v>
      </c>
      <c r="D33" s="19">
        <v>7612.068</v>
      </c>
      <c r="E33" s="19">
        <v>1</v>
      </c>
      <c r="F33" s="20">
        <v>0</v>
      </c>
      <c r="G33" s="20">
        <v>0</v>
      </c>
      <c r="H33" s="20">
        <v>1</v>
      </c>
      <c r="I33" s="20">
        <v>2.132</v>
      </c>
      <c r="J33" s="20">
        <v>12.362</v>
      </c>
      <c r="K33" s="23">
        <v>4</v>
      </c>
      <c r="L33" s="23">
        <v>2</v>
      </c>
      <c r="M33" s="23">
        <v>-1</v>
      </c>
      <c r="N33" s="23">
        <v>1</v>
      </c>
      <c r="O33" s="23">
        <v>0</v>
      </c>
      <c r="P33" s="23">
        <v>12.795</v>
      </c>
      <c r="Q33" s="23">
        <v>0</v>
      </c>
      <c r="R33" s="23">
        <v>0</v>
      </c>
    </row>
    <row r="34" ht="16.5" spans="1:18">
      <c r="A34" s="19">
        <v>155</v>
      </c>
      <c r="B34" s="19" t="s">
        <v>537</v>
      </c>
      <c r="C34" s="19">
        <v>2427.907</v>
      </c>
      <c r="D34" s="19">
        <v>2646.686</v>
      </c>
      <c r="E34" s="19">
        <v>1</v>
      </c>
      <c r="F34" s="20">
        <v>0</v>
      </c>
      <c r="G34" s="20">
        <v>0</v>
      </c>
      <c r="H34" s="20">
        <v>1</v>
      </c>
      <c r="I34" s="20">
        <v>2.357</v>
      </c>
      <c r="J34" s="20">
        <v>10.429</v>
      </c>
      <c r="K34" s="23">
        <v>4</v>
      </c>
      <c r="L34" s="23">
        <v>2</v>
      </c>
      <c r="M34" s="23">
        <v>-1</v>
      </c>
      <c r="N34" s="23">
        <v>1</v>
      </c>
      <c r="O34" s="23">
        <v>0</v>
      </c>
      <c r="P34" s="23">
        <v>13.518</v>
      </c>
      <c r="Q34" s="23">
        <v>0</v>
      </c>
      <c r="R34" s="23">
        <v>0</v>
      </c>
    </row>
    <row r="35" ht="16.5" spans="1:18">
      <c r="A35" s="19">
        <v>159</v>
      </c>
      <c r="B35" s="19" t="s">
        <v>374</v>
      </c>
      <c r="C35" s="19">
        <v>2565.533</v>
      </c>
      <c r="D35" s="19">
        <v>2848.647</v>
      </c>
      <c r="E35" s="19">
        <v>1</v>
      </c>
      <c r="F35" s="20">
        <v>0</v>
      </c>
      <c r="G35" s="20">
        <v>0</v>
      </c>
      <c r="H35" s="20">
        <v>1</v>
      </c>
      <c r="I35" s="20">
        <v>0.126</v>
      </c>
      <c r="J35" s="20">
        <v>10.052</v>
      </c>
      <c r="K35" s="23">
        <v>4</v>
      </c>
      <c r="L35" s="23">
        <v>2</v>
      </c>
      <c r="M35" s="23">
        <v>-1</v>
      </c>
      <c r="N35" s="23">
        <v>1</v>
      </c>
      <c r="O35" s="23">
        <v>0</v>
      </c>
      <c r="P35" s="23">
        <v>107.596</v>
      </c>
      <c r="Q35" s="23">
        <v>1</v>
      </c>
      <c r="R35" s="23">
        <v>0</v>
      </c>
    </row>
    <row r="36" ht="16.5" spans="1:18">
      <c r="A36" s="19">
        <v>162</v>
      </c>
      <c r="B36" s="19" t="s">
        <v>538</v>
      </c>
      <c r="C36" s="19">
        <v>2228.477</v>
      </c>
      <c r="D36" s="19">
        <v>2632.647</v>
      </c>
      <c r="E36" s="19">
        <v>1</v>
      </c>
      <c r="F36" s="20">
        <v>0</v>
      </c>
      <c r="G36" s="20">
        <v>0</v>
      </c>
      <c r="H36" s="20">
        <v>1</v>
      </c>
      <c r="I36" s="20">
        <v>1.358</v>
      </c>
      <c r="J36" s="20">
        <v>16.502</v>
      </c>
      <c r="K36" s="23">
        <v>3</v>
      </c>
      <c r="L36" s="23">
        <v>2</v>
      </c>
      <c r="M36" s="23">
        <v>0</v>
      </c>
      <c r="N36" s="23">
        <v>1</v>
      </c>
      <c r="O36" s="23">
        <v>0</v>
      </c>
      <c r="P36" s="23">
        <v>50.132</v>
      </c>
      <c r="Q36" s="23">
        <v>0</v>
      </c>
      <c r="R36" s="23">
        <v>0</v>
      </c>
    </row>
    <row r="37" ht="16.5" spans="1:18">
      <c r="A37" s="19">
        <v>170</v>
      </c>
      <c r="B37" s="19" t="s">
        <v>539</v>
      </c>
      <c r="C37" s="19">
        <v>4224.747</v>
      </c>
      <c r="D37" s="19">
        <v>4797.675</v>
      </c>
      <c r="E37" s="19">
        <v>1</v>
      </c>
      <c r="F37" s="20">
        <v>0</v>
      </c>
      <c r="G37" s="20">
        <v>0</v>
      </c>
      <c r="H37" s="20">
        <v>1</v>
      </c>
      <c r="I37" s="20">
        <v>1.469</v>
      </c>
      <c r="J37" s="20">
        <v>13.235</v>
      </c>
      <c r="K37" s="23">
        <v>4</v>
      </c>
      <c r="L37" s="23">
        <v>2</v>
      </c>
      <c r="M37" s="23">
        <v>-1</v>
      </c>
      <c r="N37" s="23">
        <v>1</v>
      </c>
      <c r="O37" s="23">
        <v>0</v>
      </c>
      <c r="P37" s="23">
        <v>12.773</v>
      </c>
      <c r="Q37" s="23">
        <v>0</v>
      </c>
      <c r="R37" s="23">
        <v>0</v>
      </c>
    </row>
    <row r="38" ht="16.5" spans="1:18">
      <c r="A38" s="19">
        <v>171</v>
      </c>
      <c r="B38" s="19" t="s">
        <v>540</v>
      </c>
      <c r="C38" s="19">
        <v>923.119</v>
      </c>
      <c r="D38" s="19">
        <v>1061.561</v>
      </c>
      <c r="E38" s="19">
        <v>1</v>
      </c>
      <c r="F38" s="20">
        <v>0</v>
      </c>
      <c r="G38" s="20">
        <v>0</v>
      </c>
      <c r="H38" s="20">
        <v>1</v>
      </c>
      <c r="I38" s="20">
        <v>1.601</v>
      </c>
      <c r="J38" s="20">
        <v>14.433</v>
      </c>
      <c r="K38" s="23">
        <v>4</v>
      </c>
      <c r="L38" s="23">
        <v>2</v>
      </c>
      <c r="M38" s="23">
        <v>0</v>
      </c>
      <c r="N38" s="23">
        <v>1</v>
      </c>
      <c r="O38" s="23">
        <v>0</v>
      </c>
      <c r="P38" s="23">
        <v>26.61</v>
      </c>
      <c r="Q38" s="23">
        <v>0</v>
      </c>
      <c r="R38" s="23">
        <v>0</v>
      </c>
    </row>
    <row r="39" ht="16.5" spans="1:18">
      <c r="A39" s="19">
        <v>300</v>
      </c>
      <c r="B39" s="19" t="s">
        <v>541</v>
      </c>
      <c r="C39" s="19">
        <v>3286.143</v>
      </c>
      <c r="D39" s="19">
        <v>3625.192</v>
      </c>
      <c r="E39" s="19">
        <v>1</v>
      </c>
      <c r="F39" s="20">
        <v>0</v>
      </c>
      <c r="G39" s="20">
        <v>0</v>
      </c>
      <c r="H39" s="20">
        <v>1</v>
      </c>
      <c r="I39" s="20">
        <v>2.119</v>
      </c>
      <c r="J39" s="20">
        <v>11.274</v>
      </c>
      <c r="K39" s="23">
        <v>4</v>
      </c>
      <c r="L39" s="23">
        <v>2</v>
      </c>
      <c r="M39" s="23">
        <v>-1</v>
      </c>
      <c r="N39" s="23">
        <v>1</v>
      </c>
      <c r="O39" s="23">
        <v>0</v>
      </c>
      <c r="P39" s="23">
        <v>14.166</v>
      </c>
      <c r="Q39" s="23">
        <v>0</v>
      </c>
      <c r="R39" s="23">
        <v>0</v>
      </c>
    </row>
    <row r="40" ht="16.5" spans="1:18">
      <c r="A40" s="19">
        <v>806</v>
      </c>
      <c r="B40" s="19" t="s">
        <v>542</v>
      </c>
      <c r="C40" s="19">
        <v>6430.45</v>
      </c>
      <c r="D40" s="19">
        <v>7255.491</v>
      </c>
      <c r="E40" s="19">
        <v>1</v>
      </c>
      <c r="F40" s="20">
        <v>0</v>
      </c>
      <c r="G40" s="20">
        <v>0</v>
      </c>
      <c r="H40" s="20">
        <v>1</v>
      </c>
      <c r="I40" s="20">
        <v>2.065</v>
      </c>
      <c r="J40" s="20">
        <v>13.201</v>
      </c>
      <c r="K40" s="23">
        <v>3</v>
      </c>
      <c r="L40" s="23">
        <v>2</v>
      </c>
      <c r="M40" s="23">
        <v>0</v>
      </c>
      <c r="N40" s="23">
        <v>0</v>
      </c>
      <c r="O40" s="23">
        <v>0</v>
      </c>
      <c r="P40" s="23">
        <v>6.066</v>
      </c>
      <c r="Q40" s="23">
        <v>0</v>
      </c>
      <c r="R40" s="23">
        <v>0</v>
      </c>
    </row>
    <row r="41" ht="16.5" spans="1:18">
      <c r="A41" s="19">
        <v>828</v>
      </c>
      <c r="B41" s="19" t="s">
        <v>543</v>
      </c>
      <c r="C41" s="19">
        <v>1796.819</v>
      </c>
      <c r="D41" s="19">
        <v>2131.165</v>
      </c>
      <c r="E41" s="19">
        <v>1</v>
      </c>
      <c r="F41" s="20">
        <v>0</v>
      </c>
      <c r="G41" s="20">
        <v>0</v>
      </c>
      <c r="H41" s="20">
        <v>1</v>
      </c>
      <c r="I41" s="20">
        <v>1.395</v>
      </c>
      <c r="J41" s="20">
        <v>16.864</v>
      </c>
      <c r="K41" s="23">
        <v>4</v>
      </c>
      <c r="L41" s="23">
        <v>2</v>
      </c>
      <c r="M41" s="23">
        <v>-1</v>
      </c>
      <c r="N41" s="23">
        <v>1</v>
      </c>
      <c r="O41" s="23">
        <v>0</v>
      </c>
      <c r="P41" s="23">
        <v>4.389</v>
      </c>
      <c r="Q41" s="23">
        <v>1</v>
      </c>
      <c r="R41" s="23">
        <v>0</v>
      </c>
    </row>
    <row r="42" ht="16.5" spans="1:18">
      <c r="A42" s="19">
        <v>846</v>
      </c>
      <c r="B42" s="19" t="s">
        <v>544</v>
      </c>
      <c r="C42" s="19">
        <v>1068.847</v>
      </c>
      <c r="D42" s="19">
        <v>1199.856</v>
      </c>
      <c r="E42" s="19">
        <v>1</v>
      </c>
      <c r="F42" s="20">
        <v>0</v>
      </c>
      <c r="G42" s="20">
        <v>0</v>
      </c>
      <c r="H42" s="20">
        <v>1</v>
      </c>
      <c r="I42" s="20">
        <v>0.287</v>
      </c>
      <c r="J42" s="20">
        <v>11.174</v>
      </c>
      <c r="K42" s="23">
        <v>4</v>
      </c>
      <c r="L42" s="23">
        <v>2</v>
      </c>
      <c r="M42" s="23">
        <v>-1</v>
      </c>
      <c r="N42" s="23">
        <v>1</v>
      </c>
      <c r="O42" s="23">
        <v>0</v>
      </c>
      <c r="P42" s="23">
        <v>8.883</v>
      </c>
      <c r="Q42" s="23">
        <v>0</v>
      </c>
      <c r="R42" s="23">
        <v>0</v>
      </c>
    </row>
    <row r="43" ht="16.5" spans="1:18">
      <c r="A43" s="19">
        <v>851</v>
      </c>
      <c r="B43" s="19" t="s">
        <v>545</v>
      </c>
      <c r="C43" s="19">
        <v>12023.898</v>
      </c>
      <c r="D43" s="19">
        <v>13389.013</v>
      </c>
      <c r="E43" s="19">
        <v>1</v>
      </c>
      <c r="F43" s="20">
        <v>0</v>
      </c>
      <c r="G43" s="20">
        <v>0</v>
      </c>
      <c r="H43" s="20">
        <v>1</v>
      </c>
      <c r="I43" s="20">
        <v>0.01</v>
      </c>
      <c r="J43" s="20">
        <v>10.205</v>
      </c>
      <c r="K43" s="23">
        <v>4</v>
      </c>
      <c r="L43" s="23">
        <v>2</v>
      </c>
      <c r="M43" s="23">
        <v>-1</v>
      </c>
      <c r="N43" s="23">
        <v>1</v>
      </c>
      <c r="O43" s="23">
        <v>0</v>
      </c>
      <c r="P43" s="23">
        <v>20.962</v>
      </c>
      <c r="Q43" s="23">
        <v>1</v>
      </c>
      <c r="R43" s="23">
        <v>0</v>
      </c>
    </row>
    <row r="44" ht="16.5" spans="1:18">
      <c r="A44" s="19">
        <v>855</v>
      </c>
      <c r="B44" s="19" t="s">
        <v>546</v>
      </c>
      <c r="C44" s="19">
        <v>1157.499</v>
      </c>
      <c r="D44" s="19">
        <v>1284.759</v>
      </c>
      <c r="E44" s="19">
        <v>1</v>
      </c>
      <c r="F44" s="20">
        <v>0</v>
      </c>
      <c r="G44" s="20">
        <v>0</v>
      </c>
      <c r="H44" s="20">
        <v>1</v>
      </c>
      <c r="I44" s="20">
        <v>1.392</v>
      </c>
      <c r="J44" s="20">
        <v>11.16</v>
      </c>
      <c r="K44" s="23">
        <v>4</v>
      </c>
      <c r="L44" s="23">
        <v>2</v>
      </c>
      <c r="M44" s="23">
        <v>-1</v>
      </c>
      <c r="N44" s="23">
        <v>1</v>
      </c>
      <c r="O44" s="23">
        <v>0</v>
      </c>
      <c r="P44" s="23">
        <v>27.472</v>
      </c>
      <c r="Q44" s="23">
        <v>1</v>
      </c>
      <c r="R44" s="23">
        <v>0</v>
      </c>
    </row>
    <row r="45" ht="16.5" spans="1:18">
      <c r="A45" s="19">
        <v>903</v>
      </c>
      <c r="B45" s="19" t="s">
        <v>547</v>
      </c>
      <c r="C45" s="19">
        <v>3145.941</v>
      </c>
      <c r="D45" s="19">
        <v>3464.159</v>
      </c>
      <c r="E45" s="19">
        <v>1</v>
      </c>
      <c r="F45" s="20">
        <v>0</v>
      </c>
      <c r="G45" s="20">
        <v>0</v>
      </c>
      <c r="H45" s="20">
        <v>1</v>
      </c>
      <c r="I45" s="20">
        <v>2.764</v>
      </c>
      <c r="J45" s="20">
        <v>11.696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23.96</v>
      </c>
      <c r="Q45" s="23">
        <v>1</v>
      </c>
      <c r="R45" s="23">
        <v>0</v>
      </c>
    </row>
    <row r="46" ht="16.5" spans="1:18">
      <c r="A46" s="19">
        <v>906</v>
      </c>
      <c r="B46" s="19" t="s">
        <v>548</v>
      </c>
      <c r="C46" s="19">
        <v>3494.598</v>
      </c>
      <c r="D46" s="19">
        <v>3892.922</v>
      </c>
      <c r="E46" s="19">
        <v>1</v>
      </c>
      <c r="F46" s="20">
        <v>0</v>
      </c>
      <c r="G46" s="20">
        <v>0</v>
      </c>
      <c r="H46" s="20">
        <v>1</v>
      </c>
      <c r="I46" s="20">
        <v>1.265</v>
      </c>
      <c r="J46" s="20">
        <v>11.368</v>
      </c>
      <c r="K46" s="23">
        <v>4</v>
      </c>
      <c r="L46" s="23">
        <v>2</v>
      </c>
      <c r="M46" s="23">
        <v>-1</v>
      </c>
      <c r="N46" s="23">
        <v>1</v>
      </c>
      <c r="O46" s="23">
        <v>0</v>
      </c>
      <c r="P46" s="23">
        <v>17.109</v>
      </c>
      <c r="Q46" s="23">
        <v>1</v>
      </c>
      <c r="R46" s="23">
        <v>0</v>
      </c>
    </row>
    <row r="47" ht="16.5" spans="1:18">
      <c r="A47" s="19">
        <v>910</v>
      </c>
      <c r="B47" s="19" t="s">
        <v>549</v>
      </c>
      <c r="C47" s="19">
        <v>1813.965</v>
      </c>
      <c r="D47" s="19">
        <v>2045.887</v>
      </c>
      <c r="E47" s="19">
        <v>1</v>
      </c>
      <c r="F47" s="20">
        <v>0</v>
      </c>
      <c r="G47" s="20">
        <v>0</v>
      </c>
      <c r="H47" s="20">
        <v>1</v>
      </c>
      <c r="I47" s="20">
        <v>0.625</v>
      </c>
      <c r="J47" s="20">
        <v>11.89</v>
      </c>
      <c r="K47" s="23">
        <v>4</v>
      </c>
      <c r="L47" s="23">
        <v>2</v>
      </c>
      <c r="M47" s="23">
        <v>-1</v>
      </c>
      <c r="N47" s="23">
        <v>1</v>
      </c>
      <c r="O47" s="23">
        <v>0</v>
      </c>
      <c r="P47" s="23">
        <v>4.871</v>
      </c>
      <c r="Q47" s="23">
        <v>0</v>
      </c>
      <c r="R47" s="23">
        <v>0</v>
      </c>
    </row>
    <row r="48" ht="16.5" spans="1:18">
      <c r="A48" s="19">
        <v>926</v>
      </c>
      <c r="B48" s="19" t="s">
        <v>550</v>
      </c>
      <c r="C48" s="19">
        <v>1857.367</v>
      </c>
      <c r="D48" s="19">
        <v>1993.119</v>
      </c>
      <c r="E48" s="19">
        <v>1</v>
      </c>
      <c r="F48" s="20">
        <v>0</v>
      </c>
      <c r="G48" s="20">
        <v>0</v>
      </c>
      <c r="H48" s="20">
        <v>1</v>
      </c>
      <c r="I48" s="20">
        <v>0.798</v>
      </c>
      <c r="J48" s="20">
        <v>7.555</v>
      </c>
      <c r="K48" s="23">
        <v>4</v>
      </c>
      <c r="L48" s="23">
        <v>2</v>
      </c>
      <c r="M48" s="23">
        <v>-1</v>
      </c>
      <c r="N48" s="23">
        <v>1</v>
      </c>
      <c r="O48" s="23">
        <v>0</v>
      </c>
      <c r="P48" s="23">
        <v>12.058</v>
      </c>
      <c r="Q48" s="23">
        <v>0</v>
      </c>
      <c r="R48" s="23">
        <v>0</v>
      </c>
    </row>
    <row r="49" ht="16.5" spans="1:18">
      <c r="A49" s="19">
        <v>927</v>
      </c>
      <c r="B49" s="19" t="s">
        <v>551</v>
      </c>
      <c r="C49" s="19">
        <v>1681.798</v>
      </c>
      <c r="D49" s="19">
        <v>1801.622</v>
      </c>
      <c r="E49" s="19">
        <v>1</v>
      </c>
      <c r="F49" s="20">
        <v>0</v>
      </c>
      <c r="G49" s="20">
        <v>0</v>
      </c>
      <c r="H49" s="20">
        <v>1</v>
      </c>
      <c r="I49" s="20">
        <v>0.528</v>
      </c>
      <c r="J49" s="20">
        <v>7.144</v>
      </c>
      <c r="K49" s="23">
        <v>4</v>
      </c>
      <c r="L49" s="23">
        <v>2</v>
      </c>
      <c r="M49" s="23">
        <v>-1</v>
      </c>
      <c r="N49" s="23">
        <v>1</v>
      </c>
      <c r="O49" s="23">
        <v>0</v>
      </c>
      <c r="P49" s="23">
        <v>9.704</v>
      </c>
      <c r="Q49" s="23">
        <v>1</v>
      </c>
      <c r="R49" s="23">
        <v>0</v>
      </c>
    </row>
    <row r="50" ht="16.5" spans="1:18">
      <c r="A50" s="19">
        <v>931</v>
      </c>
      <c r="B50" s="19" t="s">
        <v>552</v>
      </c>
      <c r="C50" s="19">
        <v>4636.536</v>
      </c>
      <c r="D50" s="19">
        <v>5322.533</v>
      </c>
      <c r="E50" s="19">
        <v>1</v>
      </c>
      <c r="F50" s="20">
        <v>0</v>
      </c>
      <c r="G50" s="20">
        <v>0</v>
      </c>
      <c r="H50" s="20">
        <v>1</v>
      </c>
      <c r="I50" s="20">
        <v>1.735</v>
      </c>
      <c r="J50" s="20">
        <v>14.4</v>
      </c>
      <c r="K50" s="23">
        <v>4</v>
      </c>
      <c r="L50" s="23">
        <v>2</v>
      </c>
      <c r="M50" s="23">
        <v>-1</v>
      </c>
      <c r="N50" s="23">
        <v>1</v>
      </c>
      <c r="O50" s="23">
        <v>0</v>
      </c>
      <c r="P50" s="23">
        <v>47.585</v>
      </c>
      <c r="Q50" s="23">
        <v>1</v>
      </c>
      <c r="R50" s="23">
        <v>0</v>
      </c>
    </row>
    <row r="51" ht="16.5" spans="1:18">
      <c r="A51" s="19">
        <v>945</v>
      </c>
      <c r="B51" s="19" t="s">
        <v>553</v>
      </c>
      <c r="C51" s="19">
        <v>1367.145</v>
      </c>
      <c r="D51" s="19">
        <v>1488.732</v>
      </c>
      <c r="E51" s="19">
        <v>1</v>
      </c>
      <c r="F51" s="20">
        <v>0</v>
      </c>
      <c r="G51" s="20">
        <v>0</v>
      </c>
      <c r="H51" s="20">
        <v>1</v>
      </c>
      <c r="I51" s="20">
        <v>0.003</v>
      </c>
      <c r="J51" s="20">
        <v>8.17</v>
      </c>
      <c r="K51" s="23">
        <v>4</v>
      </c>
      <c r="L51" s="23">
        <v>2</v>
      </c>
      <c r="M51" s="23">
        <v>-1</v>
      </c>
      <c r="N51" s="23">
        <v>1</v>
      </c>
      <c r="O51" s="23">
        <v>0</v>
      </c>
      <c r="P51" s="23">
        <v>8.494</v>
      </c>
      <c r="Q51" s="23">
        <v>1</v>
      </c>
      <c r="R51" s="23">
        <v>0</v>
      </c>
    </row>
    <row r="52" ht="16.5" spans="1:18">
      <c r="A52" s="19">
        <v>948</v>
      </c>
      <c r="B52" s="19" t="s">
        <v>554</v>
      </c>
      <c r="C52" s="19">
        <v>2180.489</v>
      </c>
      <c r="D52" s="19">
        <v>2763.343</v>
      </c>
      <c r="E52" s="19">
        <v>1</v>
      </c>
      <c r="F52" s="20">
        <v>0</v>
      </c>
      <c r="G52" s="20">
        <v>0</v>
      </c>
      <c r="H52" s="20">
        <v>1</v>
      </c>
      <c r="I52" s="20">
        <v>1.743</v>
      </c>
      <c r="J52" s="20">
        <v>22.468</v>
      </c>
      <c r="K52" s="23">
        <v>4</v>
      </c>
      <c r="L52" s="23">
        <v>2</v>
      </c>
      <c r="M52" s="23">
        <v>-1</v>
      </c>
      <c r="N52" s="23">
        <v>1</v>
      </c>
      <c r="O52" s="23">
        <v>0</v>
      </c>
      <c r="P52" s="23">
        <v>39.291</v>
      </c>
      <c r="Q52" s="23">
        <v>1</v>
      </c>
      <c r="R52" s="23">
        <v>0</v>
      </c>
    </row>
    <row r="53" ht="16.5" spans="1:18">
      <c r="A53" s="19">
        <v>964</v>
      </c>
      <c r="B53" s="19" t="s">
        <v>555</v>
      </c>
      <c r="C53" s="19">
        <v>6410.816</v>
      </c>
      <c r="D53" s="19">
        <v>7148.016</v>
      </c>
      <c r="E53" s="19">
        <v>1</v>
      </c>
      <c r="F53" s="20">
        <v>0</v>
      </c>
      <c r="G53" s="20">
        <v>0</v>
      </c>
      <c r="H53" s="20">
        <v>1</v>
      </c>
      <c r="I53" s="20">
        <v>2.379</v>
      </c>
      <c r="J53" s="20">
        <v>12.447</v>
      </c>
      <c r="K53" s="23">
        <v>4</v>
      </c>
      <c r="L53" s="23">
        <v>2</v>
      </c>
      <c r="M53" s="23">
        <v>-1</v>
      </c>
      <c r="N53" s="23">
        <v>1</v>
      </c>
      <c r="O53" s="23">
        <v>0</v>
      </c>
      <c r="P53" s="23">
        <v>3.748</v>
      </c>
      <c r="Q53" s="23">
        <v>0</v>
      </c>
      <c r="R53" s="23">
        <v>0</v>
      </c>
    </row>
    <row r="54" ht="16.5" spans="1:18">
      <c r="A54" s="19">
        <v>965</v>
      </c>
      <c r="B54" s="19" t="s">
        <v>556</v>
      </c>
      <c r="C54" s="19">
        <v>4445.793</v>
      </c>
      <c r="D54" s="19">
        <v>4887.407</v>
      </c>
      <c r="E54" s="19">
        <v>1</v>
      </c>
      <c r="F54" s="20">
        <v>0</v>
      </c>
      <c r="G54" s="20">
        <v>0</v>
      </c>
      <c r="H54" s="20">
        <v>1</v>
      </c>
      <c r="I54" s="20">
        <v>1.615</v>
      </c>
      <c r="J54" s="20">
        <v>10.505</v>
      </c>
      <c r="K54" s="23">
        <v>4</v>
      </c>
      <c r="L54" s="23">
        <v>2</v>
      </c>
      <c r="M54" s="23">
        <v>-1</v>
      </c>
      <c r="N54" s="23">
        <v>1</v>
      </c>
      <c r="O54" s="23">
        <v>0</v>
      </c>
      <c r="P54" s="23">
        <v>6.772</v>
      </c>
      <c r="Q54" s="23">
        <v>1</v>
      </c>
      <c r="R54" s="23">
        <v>0</v>
      </c>
    </row>
    <row r="55" ht="16.5" spans="1:18">
      <c r="A55" s="19">
        <v>967</v>
      </c>
      <c r="B55" s="19" t="s">
        <v>557</v>
      </c>
      <c r="C55" s="19">
        <v>4958.586</v>
      </c>
      <c r="D55" s="19">
        <v>5490.165</v>
      </c>
      <c r="E55" s="19">
        <v>1</v>
      </c>
      <c r="F55" s="20">
        <v>0</v>
      </c>
      <c r="G55" s="20">
        <v>0</v>
      </c>
      <c r="H55" s="20">
        <v>1</v>
      </c>
      <c r="I55" s="20">
        <v>1.087</v>
      </c>
      <c r="J55" s="20">
        <v>10.665</v>
      </c>
      <c r="K55" s="23">
        <v>4</v>
      </c>
      <c r="L55" s="23">
        <v>2</v>
      </c>
      <c r="M55" s="23">
        <v>-1</v>
      </c>
      <c r="N55" s="23">
        <v>1</v>
      </c>
      <c r="O55" s="23">
        <v>0</v>
      </c>
      <c r="P55" s="23">
        <v>3.755</v>
      </c>
      <c r="Q55" s="23">
        <v>1</v>
      </c>
      <c r="R55" s="23">
        <v>0</v>
      </c>
    </row>
    <row r="56" ht="16.5" spans="1:18">
      <c r="A56" s="19">
        <v>969</v>
      </c>
      <c r="B56" s="19" t="s">
        <v>558</v>
      </c>
      <c r="C56" s="19">
        <v>3754.068</v>
      </c>
      <c r="D56" s="19">
        <v>4207.389</v>
      </c>
      <c r="E56" s="19">
        <v>1</v>
      </c>
      <c r="F56" s="20">
        <v>0</v>
      </c>
      <c r="G56" s="20">
        <v>0</v>
      </c>
      <c r="H56" s="20">
        <v>1</v>
      </c>
      <c r="I56" s="20">
        <v>0.213</v>
      </c>
      <c r="J56" s="20">
        <v>10.965</v>
      </c>
      <c r="K56" s="23">
        <v>4</v>
      </c>
      <c r="L56" s="23">
        <v>2</v>
      </c>
      <c r="M56" s="23">
        <v>-1</v>
      </c>
      <c r="N56" s="23">
        <v>1</v>
      </c>
      <c r="O56" s="23">
        <v>0</v>
      </c>
      <c r="P56" s="23">
        <v>20.352</v>
      </c>
      <c r="Q56" s="23">
        <v>1</v>
      </c>
      <c r="R56" s="23">
        <v>0</v>
      </c>
    </row>
    <row r="57" ht="16.5" spans="1:18">
      <c r="A57" s="19">
        <v>971</v>
      </c>
      <c r="B57" s="19" t="s">
        <v>559</v>
      </c>
      <c r="C57" s="19">
        <v>2172.355</v>
      </c>
      <c r="D57" s="19">
        <v>2426.217</v>
      </c>
      <c r="E57" s="19">
        <v>1</v>
      </c>
      <c r="F57" s="20">
        <v>0</v>
      </c>
      <c r="G57" s="20">
        <v>0</v>
      </c>
      <c r="H57" s="20">
        <v>1</v>
      </c>
      <c r="I57" s="20">
        <v>2.108</v>
      </c>
      <c r="J57" s="20">
        <v>12.351</v>
      </c>
      <c r="K57" s="23">
        <v>4</v>
      </c>
      <c r="L57" s="23">
        <v>2</v>
      </c>
      <c r="M57" s="23">
        <v>-1</v>
      </c>
      <c r="N57" s="23">
        <v>1</v>
      </c>
      <c r="O57" s="23">
        <v>0</v>
      </c>
      <c r="P57" s="23">
        <v>11.026</v>
      </c>
      <c r="Q57" s="23">
        <v>1</v>
      </c>
      <c r="R57" s="23">
        <v>0</v>
      </c>
    </row>
    <row r="58" ht="16.5" spans="1:18">
      <c r="A58" s="19">
        <v>980</v>
      </c>
      <c r="B58" s="19" t="s">
        <v>560</v>
      </c>
      <c r="C58" s="19">
        <v>2554.878</v>
      </c>
      <c r="D58" s="19">
        <v>2807.445</v>
      </c>
      <c r="E58" s="19">
        <v>1</v>
      </c>
      <c r="F58" s="20">
        <v>0</v>
      </c>
      <c r="G58" s="20">
        <v>0</v>
      </c>
      <c r="H58" s="20">
        <v>1</v>
      </c>
      <c r="I58" s="20">
        <v>3.534</v>
      </c>
      <c r="J58" s="20">
        <v>12.212</v>
      </c>
      <c r="K58" s="23">
        <v>4</v>
      </c>
      <c r="L58" s="23">
        <v>2</v>
      </c>
      <c r="M58" s="23">
        <v>-1</v>
      </c>
      <c r="N58" s="23">
        <v>1</v>
      </c>
      <c r="O58" s="23">
        <v>0</v>
      </c>
      <c r="P58" s="23">
        <v>18.728</v>
      </c>
      <c r="Q58" s="23">
        <v>1</v>
      </c>
      <c r="R58" s="23">
        <v>0</v>
      </c>
    </row>
    <row r="59" ht="16.5" spans="1:18">
      <c r="A59" s="19">
        <v>984</v>
      </c>
      <c r="B59" s="19" t="s">
        <v>561</v>
      </c>
      <c r="C59" s="19">
        <v>3280.342</v>
      </c>
      <c r="D59" s="19">
        <v>3663.328</v>
      </c>
      <c r="E59" s="19">
        <v>1</v>
      </c>
      <c r="F59" s="20">
        <v>0</v>
      </c>
      <c r="G59" s="20">
        <v>0</v>
      </c>
      <c r="H59" s="20">
        <v>1</v>
      </c>
      <c r="I59" s="20">
        <v>0.296</v>
      </c>
      <c r="J59" s="20">
        <v>10.719</v>
      </c>
      <c r="K59" s="23">
        <v>4</v>
      </c>
      <c r="L59" s="23">
        <v>2</v>
      </c>
      <c r="M59" s="23">
        <v>-1</v>
      </c>
      <c r="N59" s="23">
        <v>1</v>
      </c>
      <c r="O59" s="23">
        <v>0</v>
      </c>
      <c r="P59" s="23">
        <v>15.014</v>
      </c>
      <c r="Q59" s="23">
        <v>1</v>
      </c>
      <c r="R59" s="23">
        <v>0</v>
      </c>
    </row>
    <row r="60" ht="16.5" spans="1:18">
      <c r="A60" s="19">
        <v>989</v>
      </c>
      <c r="B60" s="19" t="s">
        <v>562</v>
      </c>
      <c r="C60" s="19">
        <v>4081.141</v>
      </c>
      <c r="D60" s="19">
        <v>4677.765</v>
      </c>
      <c r="E60" s="19">
        <v>1</v>
      </c>
      <c r="F60" s="20">
        <v>0</v>
      </c>
      <c r="G60" s="20">
        <v>0</v>
      </c>
      <c r="H60" s="20">
        <v>1</v>
      </c>
      <c r="I60" s="20">
        <v>1.125</v>
      </c>
      <c r="J60" s="20">
        <v>13.736</v>
      </c>
      <c r="K60" s="23">
        <v>4</v>
      </c>
      <c r="L60" s="23">
        <v>1</v>
      </c>
      <c r="M60" s="23">
        <v>0</v>
      </c>
      <c r="N60" s="23">
        <v>1</v>
      </c>
      <c r="O60" s="23">
        <v>0</v>
      </c>
      <c r="P60" s="23">
        <v>-0.007</v>
      </c>
      <c r="Q60" s="23">
        <v>0</v>
      </c>
      <c r="R60" s="23">
        <v>0</v>
      </c>
    </row>
    <row r="61" ht="16.5" spans="1:18">
      <c r="A61" s="19">
        <v>399001</v>
      </c>
      <c r="B61" s="19" t="s">
        <v>25</v>
      </c>
      <c r="C61" s="19">
        <v>8221.187</v>
      </c>
      <c r="D61" s="19">
        <v>9447.145</v>
      </c>
      <c r="E61" s="19">
        <v>1</v>
      </c>
      <c r="F61" s="20">
        <v>0</v>
      </c>
      <c r="G61" s="20">
        <v>0</v>
      </c>
      <c r="H61" s="20">
        <v>1</v>
      </c>
      <c r="I61" s="20">
        <v>0.712</v>
      </c>
      <c r="J61" s="20">
        <v>13.596</v>
      </c>
      <c r="K61" s="23">
        <v>4</v>
      </c>
      <c r="L61" s="23">
        <v>2</v>
      </c>
      <c r="M61" s="23">
        <v>-1</v>
      </c>
      <c r="N61" s="23">
        <v>1</v>
      </c>
      <c r="O61" s="23">
        <v>0</v>
      </c>
      <c r="P61" s="23">
        <v>9.645</v>
      </c>
      <c r="Q61" s="23">
        <v>0</v>
      </c>
      <c r="R61" s="23">
        <v>0</v>
      </c>
    </row>
    <row r="62" ht="16.5" spans="1:18">
      <c r="A62" s="19">
        <v>399002</v>
      </c>
      <c r="B62" s="19" t="s">
        <v>563</v>
      </c>
      <c r="C62" s="19">
        <v>10782.046</v>
      </c>
      <c r="D62" s="19">
        <v>12283.48</v>
      </c>
      <c r="E62" s="19">
        <v>1</v>
      </c>
      <c r="F62" s="20">
        <v>0</v>
      </c>
      <c r="G62" s="20">
        <v>0</v>
      </c>
      <c r="H62" s="20">
        <v>1</v>
      </c>
      <c r="I62" s="20">
        <v>1.827</v>
      </c>
      <c r="J62" s="20">
        <v>13.827</v>
      </c>
      <c r="K62" s="23">
        <v>4</v>
      </c>
      <c r="L62" s="23">
        <v>2</v>
      </c>
      <c r="M62" s="23">
        <v>-1</v>
      </c>
      <c r="N62" s="23">
        <v>1</v>
      </c>
      <c r="O62" s="23">
        <v>0</v>
      </c>
      <c r="P62" s="23">
        <v>7.515</v>
      </c>
      <c r="Q62" s="23">
        <v>0</v>
      </c>
      <c r="R62" s="23">
        <v>0</v>
      </c>
    </row>
    <row r="63" ht="16.5" spans="1:18">
      <c r="A63" s="19">
        <v>399004</v>
      </c>
      <c r="B63" s="19" t="s">
        <v>564</v>
      </c>
      <c r="C63" s="19">
        <v>5182.778</v>
      </c>
      <c r="D63" s="19">
        <v>5854.733</v>
      </c>
      <c r="E63" s="19">
        <v>1</v>
      </c>
      <c r="F63" s="20">
        <v>0</v>
      </c>
      <c r="G63" s="20">
        <v>0</v>
      </c>
      <c r="H63" s="20">
        <v>1</v>
      </c>
      <c r="I63" s="20">
        <v>3.718</v>
      </c>
      <c r="J63" s="20">
        <v>14.769</v>
      </c>
      <c r="K63" s="23">
        <v>4</v>
      </c>
      <c r="L63" s="23">
        <v>2</v>
      </c>
      <c r="M63" s="23">
        <v>-1</v>
      </c>
      <c r="N63" s="23">
        <v>1</v>
      </c>
      <c r="O63" s="23">
        <v>0</v>
      </c>
      <c r="P63" s="23">
        <v>21.37</v>
      </c>
      <c r="Q63" s="23">
        <v>1</v>
      </c>
      <c r="R63" s="23">
        <v>0</v>
      </c>
    </row>
    <row r="64" ht="16.5" spans="1:18">
      <c r="A64" s="19">
        <v>399005</v>
      </c>
      <c r="B64" s="19" t="s">
        <v>565</v>
      </c>
      <c r="C64" s="19">
        <v>5286.66</v>
      </c>
      <c r="D64" s="19">
        <v>5924.285</v>
      </c>
      <c r="E64" s="19">
        <v>1</v>
      </c>
      <c r="F64" s="20">
        <v>0</v>
      </c>
      <c r="G64" s="20">
        <v>0</v>
      </c>
      <c r="H64" s="20">
        <v>1</v>
      </c>
      <c r="I64" s="20">
        <v>1.088</v>
      </c>
      <c r="J64" s="20">
        <v>11.734</v>
      </c>
      <c r="K64" s="23">
        <v>4</v>
      </c>
      <c r="L64" s="23">
        <v>2</v>
      </c>
      <c r="M64" s="23">
        <v>-1</v>
      </c>
      <c r="N64" s="23">
        <v>1</v>
      </c>
      <c r="O64" s="23">
        <v>0</v>
      </c>
      <c r="P64" s="23">
        <v>18.541</v>
      </c>
      <c r="Q64" s="23">
        <v>0</v>
      </c>
      <c r="R64" s="23">
        <v>0</v>
      </c>
    </row>
    <row r="65" ht="16.5" spans="1:18">
      <c r="A65" s="19">
        <v>399006</v>
      </c>
      <c r="B65" s="19" t="s">
        <v>566</v>
      </c>
      <c r="C65" s="19">
        <v>1563.705</v>
      </c>
      <c r="D65" s="19">
        <v>1837.097</v>
      </c>
      <c r="E65" s="19">
        <v>1</v>
      </c>
      <c r="F65" s="20">
        <v>0</v>
      </c>
      <c r="G65" s="20">
        <v>0</v>
      </c>
      <c r="H65" s="20">
        <v>1</v>
      </c>
      <c r="I65" s="20">
        <v>2.566</v>
      </c>
      <c r="J65" s="20">
        <v>17.066</v>
      </c>
      <c r="K65" s="23">
        <v>4</v>
      </c>
      <c r="L65" s="23">
        <v>2</v>
      </c>
      <c r="M65" s="23">
        <v>-1</v>
      </c>
      <c r="N65" s="23">
        <v>1</v>
      </c>
      <c r="O65" s="23">
        <v>0</v>
      </c>
      <c r="P65" s="23">
        <v>11.224</v>
      </c>
      <c r="Q65" s="23">
        <v>1</v>
      </c>
      <c r="R65" s="23">
        <v>0</v>
      </c>
    </row>
    <row r="66" ht="16.5" spans="1:18">
      <c r="A66" s="19">
        <v>399007</v>
      </c>
      <c r="B66" s="19" t="s">
        <v>567</v>
      </c>
      <c r="C66" s="19">
        <v>3500.891</v>
      </c>
      <c r="D66" s="19">
        <v>4016.009</v>
      </c>
      <c r="E66" s="19">
        <v>1</v>
      </c>
      <c r="F66" s="20">
        <v>0</v>
      </c>
      <c r="G66" s="20">
        <v>0</v>
      </c>
      <c r="H66" s="20">
        <v>1</v>
      </c>
      <c r="I66" s="20">
        <v>1.171</v>
      </c>
      <c r="J66" s="20">
        <v>13.848</v>
      </c>
      <c r="K66" s="23">
        <v>4</v>
      </c>
      <c r="L66" s="23">
        <v>2</v>
      </c>
      <c r="M66" s="23">
        <v>-1</v>
      </c>
      <c r="N66" s="23">
        <v>1</v>
      </c>
      <c r="O66" s="23">
        <v>0</v>
      </c>
      <c r="P66" s="23">
        <v>43.743</v>
      </c>
      <c r="Q66" s="23">
        <v>1</v>
      </c>
      <c r="R66" s="23">
        <v>0</v>
      </c>
    </row>
    <row r="67" ht="16.5" spans="1:18">
      <c r="A67" s="19">
        <v>399011</v>
      </c>
      <c r="B67" s="19" t="s">
        <v>568</v>
      </c>
      <c r="C67" s="19">
        <v>3930.625</v>
      </c>
      <c r="D67" s="19">
        <v>4530.708</v>
      </c>
      <c r="E67" s="19">
        <v>1</v>
      </c>
      <c r="F67" s="20">
        <v>0</v>
      </c>
      <c r="G67" s="20">
        <v>0</v>
      </c>
      <c r="H67" s="20">
        <v>1</v>
      </c>
      <c r="I67" s="20">
        <v>0.31</v>
      </c>
      <c r="J67" s="20">
        <v>13.514</v>
      </c>
      <c r="K67" s="23">
        <v>4</v>
      </c>
      <c r="L67" s="23">
        <v>2</v>
      </c>
      <c r="M67" s="23">
        <v>-1</v>
      </c>
      <c r="N67" s="23">
        <v>1</v>
      </c>
      <c r="O67" s="23">
        <v>0</v>
      </c>
      <c r="P67" s="23">
        <v>8.048</v>
      </c>
      <c r="Q67" s="23">
        <v>0</v>
      </c>
      <c r="R67" s="23">
        <v>0</v>
      </c>
    </row>
    <row r="68" ht="16.5" spans="1:18">
      <c r="A68" s="19">
        <v>399012</v>
      </c>
      <c r="B68" s="19" t="s">
        <v>371</v>
      </c>
      <c r="C68" s="19">
        <v>2236.43</v>
      </c>
      <c r="D68" s="19">
        <v>2622.23</v>
      </c>
      <c r="E68" s="19">
        <v>1</v>
      </c>
      <c r="F68" s="20">
        <v>0</v>
      </c>
      <c r="G68" s="20">
        <v>0</v>
      </c>
      <c r="H68" s="20">
        <v>1</v>
      </c>
      <c r="I68" s="20">
        <v>2.133</v>
      </c>
      <c r="J68" s="20">
        <v>16.531</v>
      </c>
      <c r="K68" s="23">
        <v>4</v>
      </c>
      <c r="L68" s="23">
        <v>2</v>
      </c>
      <c r="M68" s="23">
        <v>-1</v>
      </c>
      <c r="N68" s="23">
        <v>1</v>
      </c>
      <c r="O68" s="23">
        <v>0</v>
      </c>
      <c r="P68" s="23">
        <v>37.188</v>
      </c>
      <c r="Q68" s="23">
        <v>0</v>
      </c>
      <c r="R68" s="23">
        <v>0</v>
      </c>
    </row>
    <row r="69" ht="16.5" spans="1:18">
      <c r="A69" s="19">
        <v>399019</v>
      </c>
      <c r="B69" s="19" t="s">
        <v>480</v>
      </c>
      <c r="C69" s="19">
        <v>2348.653</v>
      </c>
      <c r="D69" s="19">
        <v>2771.717</v>
      </c>
      <c r="E69" s="19">
        <v>1</v>
      </c>
      <c r="F69" s="20">
        <v>0</v>
      </c>
      <c r="G69" s="20">
        <v>0</v>
      </c>
      <c r="H69" s="20">
        <v>1</v>
      </c>
      <c r="I69" s="20">
        <v>0.213</v>
      </c>
      <c r="J69" s="20">
        <v>15.444</v>
      </c>
      <c r="K69" s="23">
        <v>4</v>
      </c>
      <c r="L69" s="23">
        <v>2</v>
      </c>
      <c r="M69" s="23">
        <v>-1</v>
      </c>
      <c r="N69" s="23">
        <v>1</v>
      </c>
      <c r="O69" s="23">
        <v>0</v>
      </c>
      <c r="P69" s="23">
        <v>10.35</v>
      </c>
      <c r="Q69" s="23">
        <v>1</v>
      </c>
      <c r="R69" s="23">
        <v>0</v>
      </c>
    </row>
    <row r="70" ht="16.5" spans="1:18">
      <c r="A70" s="19">
        <v>399030</v>
      </c>
      <c r="B70" s="19" t="s">
        <v>569</v>
      </c>
      <c r="C70" s="19">
        <v>2196.034</v>
      </c>
      <c r="D70" s="19">
        <v>2676.741</v>
      </c>
      <c r="E70" s="19">
        <v>1</v>
      </c>
      <c r="F70" s="20">
        <v>0</v>
      </c>
      <c r="G70" s="20">
        <v>0</v>
      </c>
      <c r="H70" s="20">
        <v>1</v>
      </c>
      <c r="I70" s="20">
        <v>2.009</v>
      </c>
      <c r="J70" s="20">
        <v>19.607</v>
      </c>
      <c r="K70" s="23">
        <v>3</v>
      </c>
      <c r="L70" s="23">
        <v>2</v>
      </c>
      <c r="M70" s="23">
        <v>-1</v>
      </c>
      <c r="N70" s="23">
        <v>1</v>
      </c>
      <c r="O70" s="23">
        <v>0</v>
      </c>
      <c r="P70" s="23">
        <v>16.837</v>
      </c>
      <c r="Q70" s="23">
        <v>1</v>
      </c>
      <c r="R70" s="23">
        <v>0</v>
      </c>
    </row>
    <row r="71" ht="16.5" spans="1:18">
      <c r="A71" s="19">
        <v>399050</v>
      </c>
      <c r="B71" s="19" t="s">
        <v>570</v>
      </c>
      <c r="C71" s="19">
        <v>2081.597</v>
      </c>
      <c r="D71" s="19">
        <v>2315.738</v>
      </c>
      <c r="E71" s="19">
        <v>1</v>
      </c>
      <c r="F71" s="20">
        <v>0</v>
      </c>
      <c r="G71" s="20">
        <v>0</v>
      </c>
      <c r="H71" s="20">
        <v>1</v>
      </c>
      <c r="I71" s="20">
        <v>3.228</v>
      </c>
      <c r="J71" s="20">
        <v>13.012</v>
      </c>
      <c r="K71" s="23">
        <v>4</v>
      </c>
      <c r="L71" s="23">
        <v>2</v>
      </c>
      <c r="M71" s="23">
        <v>-1</v>
      </c>
      <c r="N71" s="23">
        <v>1</v>
      </c>
      <c r="O71" s="23">
        <v>0</v>
      </c>
      <c r="P71" s="23">
        <v>17.876</v>
      </c>
      <c r="Q71" s="23">
        <v>0</v>
      </c>
      <c r="R71" s="23">
        <v>0</v>
      </c>
    </row>
    <row r="72" ht="16.5" spans="1:18">
      <c r="A72" s="19">
        <v>399060</v>
      </c>
      <c r="B72" s="19" t="s">
        <v>571</v>
      </c>
      <c r="C72" s="19">
        <v>2050.785</v>
      </c>
      <c r="D72" s="19">
        <v>2362.821</v>
      </c>
      <c r="E72" s="19">
        <v>1</v>
      </c>
      <c r="F72" s="20">
        <v>0</v>
      </c>
      <c r="G72" s="20">
        <v>0</v>
      </c>
      <c r="H72" s="20">
        <v>1</v>
      </c>
      <c r="I72" s="20">
        <v>2.779</v>
      </c>
      <c r="J72" s="20">
        <v>15.618</v>
      </c>
      <c r="K72" s="23">
        <v>4</v>
      </c>
      <c r="L72" s="23">
        <v>2</v>
      </c>
      <c r="M72" s="23">
        <v>-1</v>
      </c>
      <c r="N72" s="23">
        <v>1</v>
      </c>
      <c r="O72" s="23">
        <v>0</v>
      </c>
      <c r="P72" s="23">
        <v>16.768</v>
      </c>
      <c r="Q72" s="23">
        <v>0</v>
      </c>
      <c r="R72" s="23">
        <v>0</v>
      </c>
    </row>
    <row r="73" ht="16.5" spans="1:18">
      <c r="A73" s="19">
        <v>399088</v>
      </c>
      <c r="B73" s="19" t="s">
        <v>572</v>
      </c>
      <c r="C73" s="19">
        <v>2748.33</v>
      </c>
      <c r="D73" s="19">
        <v>3096.239</v>
      </c>
      <c r="E73" s="19">
        <v>1</v>
      </c>
      <c r="F73" s="20">
        <v>0</v>
      </c>
      <c r="G73" s="20">
        <v>0</v>
      </c>
      <c r="H73" s="20">
        <v>1</v>
      </c>
      <c r="I73" s="20">
        <v>3.389</v>
      </c>
      <c r="J73" s="20">
        <v>14.244</v>
      </c>
      <c r="K73" s="23">
        <v>4</v>
      </c>
      <c r="L73" s="23">
        <v>2</v>
      </c>
      <c r="M73" s="23">
        <v>-1</v>
      </c>
      <c r="N73" s="23">
        <v>1</v>
      </c>
      <c r="O73" s="23">
        <v>0</v>
      </c>
      <c r="P73" s="23">
        <v>63.516</v>
      </c>
      <c r="Q73" s="23">
        <v>0</v>
      </c>
      <c r="R73" s="23">
        <v>0</v>
      </c>
    </row>
    <row r="74" ht="16.5" spans="1:18">
      <c r="A74" s="19">
        <v>399100</v>
      </c>
      <c r="B74" s="19" t="s">
        <v>36</v>
      </c>
      <c r="C74" s="19">
        <v>7129.668</v>
      </c>
      <c r="D74" s="19">
        <v>8139.506</v>
      </c>
      <c r="E74" s="19">
        <v>1</v>
      </c>
      <c r="F74" s="20">
        <v>0</v>
      </c>
      <c r="G74" s="20">
        <v>0</v>
      </c>
      <c r="H74" s="20">
        <v>1</v>
      </c>
      <c r="I74" s="20">
        <v>1.052</v>
      </c>
      <c r="J74" s="20">
        <v>13.328</v>
      </c>
      <c r="K74" s="23">
        <v>2</v>
      </c>
      <c r="L74" s="23">
        <v>2</v>
      </c>
      <c r="M74" s="23">
        <v>0</v>
      </c>
      <c r="N74" s="23">
        <v>1</v>
      </c>
      <c r="O74" s="23">
        <v>0</v>
      </c>
      <c r="P74" s="23">
        <v>58.132</v>
      </c>
      <c r="Q74" s="23">
        <v>0</v>
      </c>
      <c r="R74" s="23">
        <v>0</v>
      </c>
    </row>
    <row r="75" ht="16.5" spans="1:18">
      <c r="A75" s="19">
        <v>399101</v>
      </c>
      <c r="B75" s="19" t="s">
        <v>573</v>
      </c>
      <c r="C75" s="19">
        <v>8752.801</v>
      </c>
      <c r="D75" s="19">
        <v>9901.1</v>
      </c>
      <c r="E75" s="19">
        <v>1</v>
      </c>
      <c r="F75" s="20">
        <v>0</v>
      </c>
      <c r="G75" s="20">
        <v>0</v>
      </c>
      <c r="H75" s="20">
        <v>1</v>
      </c>
      <c r="I75" s="20">
        <v>0.131</v>
      </c>
      <c r="J75" s="20">
        <v>11.713</v>
      </c>
      <c r="K75" s="23">
        <v>4</v>
      </c>
      <c r="L75" s="23">
        <v>2</v>
      </c>
      <c r="M75" s="23">
        <v>-1</v>
      </c>
      <c r="N75" s="23">
        <v>1</v>
      </c>
      <c r="O75" s="23">
        <v>0</v>
      </c>
      <c r="P75" s="23">
        <v>11.235</v>
      </c>
      <c r="Q75" s="23">
        <v>0</v>
      </c>
      <c r="R75" s="23">
        <v>0</v>
      </c>
    </row>
    <row r="76" ht="16.5" spans="1:18">
      <c r="A76" s="19">
        <v>399102</v>
      </c>
      <c r="B76" s="19" t="s">
        <v>40</v>
      </c>
      <c r="C76" s="19">
        <v>1989.502</v>
      </c>
      <c r="D76" s="19">
        <v>2307.297</v>
      </c>
      <c r="E76" s="19">
        <v>1</v>
      </c>
      <c r="F76" s="20">
        <v>0</v>
      </c>
      <c r="G76" s="20">
        <v>0</v>
      </c>
      <c r="H76" s="20">
        <v>1</v>
      </c>
      <c r="I76" s="20">
        <v>1.642</v>
      </c>
      <c r="J76" s="20">
        <v>15.189</v>
      </c>
      <c r="K76" s="23">
        <v>3</v>
      </c>
      <c r="L76" s="23">
        <v>2</v>
      </c>
      <c r="M76" s="23">
        <v>0</v>
      </c>
      <c r="N76" s="23">
        <v>1</v>
      </c>
      <c r="O76" s="23">
        <v>0</v>
      </c>
      <c r="P76" s="23">
        <v>30.145</v>
      </c>
      <c r="Q76" s="23">
        <v>0</v>
      </c>
      <c r="R76" s="23">
        <v>0</v>
      </c>
    </row>
    <row r="77" ht="16.5" spans="1:18">
      <c r="A77" s="19">
        <v>399103</v>
      </c>
      <c r="B77" s="19" t="s">
        <v>574</v>
      </c>
      <c r="C77" s="19">
        <v>5879.353</v>
      </c>
      <c r="D77" s="19">
        <v>6450.29</v>
      </c>
      <c r="E77" s="19">
        <v>1</v>
      </c>
      <c r="F77" s="20">
        <v>0</v>
      </c>
      <c r="G77" s="20">
        <v>0</v>
      </c>
      <c r="H77" s="20">
        <v>1</v>
      </c>
      <c r="I77" s="20">
        <v>3.467</v>
      </c>
      <c r="J77" s="20">
        <v>12.011</v>
      </c>
      <c r="K77" s="23">
        <v>4</v>
      </c>
      <c r="L77" s="23">
        <v>2</v>
      </c>
      <c r="M77" s="23">
        <v>-1</v>
      </c>
      <c r="N77" s="23">
        <v>1</v>
      </c>
      <c r="O77" s="23">
        <v>0</v>
      </c>
      <c r="P77" s="23">
        <v>12.723</v>
      </c>
      <c r="Q77" s="23">
        <v>0</v>
      </c>
      <c r="R77" s="23">
        <v>0</v>
      </c>
    </row>
    <row r="78" ht="16.5" spans="1:18">
      <c r="A78" s="19">
        <v>399106</v>
      </c>
      <c r="B78" s="19" t="s">
        <v>21</v>
      </c>
      <c r="C78" s="19">
        <v>1509.511</v>
      </c>
      <c r="D78" s="19">
        <v>1729.163</v>
      </c>
      <c r="E78" s="19">
        <v>1</v>
      </c>
      <c r="F78" s="20">
        <v>0</v>
      </c>
      <c r="G78" s="20">
        <v>0</v>
      </c>
      <c r="H78" s="20">
        <v>1</v>
      </c>
      <c r="I78" s="20">
        <v>0.483</v>
      </c>
      <c r="J78" s="20">
        <v>13.125</v>
      </c>
      <c r="K78" s="23">
        <v>2</v>
      </c>
      <c r="L78" s="23">
        <v>2</v>
      </c>
      <c r="M78" s="23">
        <v>0</v>
      </c>
      <c r="N78" s="23">
        <v>1</v>
      </c>
      <c r="O78" s="23">
        <v>0</v>
      </c>
      <c r="P78" s="23">
        <v>8.135</v>
      </c>
      <c r="Q78" s="23">
        <v>0</v>
      </c>
      <c r="R78" s="23">
        <v>0</v>
      </c>
    </row>
    <row r="79" ht="16.5" spans="1:18">
      <c r="A79" s="19">
        <v>399107</v>
      </c>
      <c r="B79" s="19" t="s">
        <v>32</v>
      </c>
      <c r="C79" s="19">
        <v>1578.566</v>
      </c>
      <c r="D79" s="19">
        <v>1808.551</v>
      </c>
      <c r="E79" s="19">
        <v>1</v>
      </c>
      <c r="F79" s="20">
        <v>0</v>
      </c>
      <c r="G79" s="20">
        <v>0</v>
      </c>
      <c r="H79" s="20">
        <v>1</v>
      </c>
      <c r="I79" s="20">
        <v>0.478</v>
      </c>
      <c r="J79" s="20">
        <v>13.134</v>
      </c>
      <c r="K79" s="23">
        <v>4</v>
      </c>
      <c r="L79" s="23">
        <v>2</v>
      </c>
      <c r="M79" s="23">
        <v>-1</v>
      </c>
      <c r="N79" s="23">
        <v>1</v>
      </c>
      <c r="O79" s="23">
        <v>0</v>
      </c>
      <c r="P79" s="23">
        <v>6.251</v>
      </c>
      <c r="Q79" s="23">
        <v>1</v>
      </c>
      <c r="R79" s="23">
        <v>0</v>
      </c>
    </row>
    <row r="80" ht="16.5" spans="1:18">
      <c r="A80" s="19">
        <v>399108</v>
      </c>
      <c r="B80" s="19" t="s">
        <v>575</v>
      </c>
      <c r="C80" s="19">
        <v>1064.745</v>
      </c>
      <c r="D80" s="19">
        <v>1147.437</v>
      </c>
      <c r="E80" s="19">
        <v>1</v>
      </c>
      <c r="F80" s="20">
        <v>0</v>
      </c>
      <c r="G80" s="20">
        <v>0</v>
      </c>
      <c r="H80" s="20">
        <v>1</v>
      </c>
      <c r="I80" s="20">
        <v>2.057</v>
      </c>
      <c r="J80" s="20">
        <v>9.116</v>
      </c>
      <c r="K80" s="23">
        <v>4</v>
      </c>
      <c r="L80" s="23">
        <v>2</v>
      </c>
      <c r="M80" s="23">
        <v>-1</v>
      </c>
      <c r="N80" s="23">
        <v>1</v>
      </c>
      <c r="O80" s="23">
        <v>0</v>
      </c>
      <c r="P80" s="23">
        <v>60.107</v>
      </c>
      <c r="Q80" s="23">
        <v>0</v>
      </c>
      <c r="R80" s="23">
        <v>0</v>
      </c>
    </row>
    <row r="81" ht="16.5" spans="1:18">
      <c r="A81" s="19">
        <v>399236</v>
      </c>
      <c r="B81" s="19" t="s">
        <v>576</v>
      </c>
      <c r="C81" s="19">
        <v>893.34</v>
      </c>
      <c r="D81" s="19">
        <v>1068.472</v>
      </c>
      <c r="E81" s="19">
        <v>1</v>
      </c>
      <c r="F81" s="20">
        <v>0</v>
      </c>
      <c r="G81" s="20">
        <v>0</v>
      </c>
      <c r="H81" s="20">
        <v>1</v>
      </c>
      <c r="I81" s="20">
        <v>0.864</v>
      </c>
      <c r="J81" s="20">
        <v>17.113</v>
      </c>
      <c r="K81" s="23">
        <v>4</v>
      </c>
      <c r="L81" s="23">
        <v>2</v>
      </c>
      <c r="M81" s="23">
        <v>-1</v>
      </c>
      <c r="N81" s="23">
        <v>1</v>
      </c>
      <c r="O81" s="23">
        <v>0</v>
      </c>
      <c r="P81" s="23">
        <v>11.258</v>
      </c>
      <c r="Q81" s="23">
        <v>0</v>
      </c>
      <c r="R81" s="23">
        <v>0</v>
      </c>
    </row>
    <row r="82" ht="16.5" spans="1:18">
      <c r="A82" s="19">
        <v>399239</v>
      </c>
      <c r="B82" s="19" t="s">
        <v>577</v>
      </c>
      <c r="C82" s="19">
        <v>1083.648</v>
      </c>
      <c r="D82" s="19">
        <v>1301.341</v>
      </c>
      <c r="E82" s="19">
        <v>1</v>
      </c>
      <c r="F82" s="20">
        <v>0</v>
      </c>
      <c r="G82" s="20">
        <v>0</v>
      </c>
      <c r="H82" s="20">
        <v>1</v>
      </c>
      <c r="I82" s="20">
        <v>4.016</v>
      </c>
      <c r="J82" s="20">
        <v>20.073</v>
      </c>
      <c r="K82" s="23">
        <v>4</v>
      </c>
      <c r="L82" s="23">
        <v>2</v>
      </c>
      <c r="M82" s="23">
        <v>-1</v>
      </c>
      <c r="N82" s="23">
        <v>1</v>
      </c>
      <c r="O82" s="23">
        <v>0</v>
      </c>
      <c r="P82" s="23">
        <v>61.568</v>
      </c>
      <c r="Q82" s="23">
        <v>0</v>
      </c>
      <c r="R82" s="23">
        <v>0</v>
      </c>
    </row>
    <row r="83" ht="16.5" spans="1:18">
      <c r="A83" s="19">
        <v>399241</v>
      </c>
      <c r="B83" s="19" t="s">
        <v>508</v>
      </c>
      <c r="C83" s="19">
        <v>962.727</v>
      </c>
      <c r="D83" s="19">
        <v>1243.522</v>
      </c>
      <c r="E83" s="19">
        <v>1</v>
      </c>
      <c r="F83" s="20">
        <v>0</v>
      </c>
      <c r="G83" s="20">
        <v>0</v>
      </c>
      <c r="H83" s="20">
        <v>1</v>
      </c>
      <c r="I83" s="20">
        <v>4.509</v>
      </c>
      <c r="J83" s="20">
        <v>26.072</v>
      </c>
      <c r="K83" s="23">
        <v>4</v>
      </c>
      <c r="L83" s="23">
        <v>2</v>
      </c>
      <c r="M83" s="23">
        <v>-1</v>
      </c>
      <c r="N83" s="23">
        <v>1</v>
      </c>
      <c r="O83" s="23">
        <v>0</v>
      </c>
      <c r="P83" s="23">
        <v>5.317</v>
      </c>
      <c r="Q83" s="23">
        <v>0</v>
      </c>
      <c r="R83" s="23">
        <v>0</v>
      </c>
    </row>
    <row r="84" ht="16.5" spans="1:18">
      <c r="A84" s="19">
        <v>399242</v>
      </c>
      <c r="B84" s="19" t="s">
        <v>578</v>
      </c>
      <c r="C84" s="19">
        <v>791.158</v>
      </c>
      <c r="D84" s="19">
        <v>915.773</v>
      </c>
      <c r="E84" s="19">
        <v>1</v>
      </c>
      <c r="F84" s="20">
        <v>0</v>
      </c>
      <c r="G84" s="20">
        <v>0</v>
      </c>
      <c r="H84" s="20">
        <v>1</v>
      </c>
      <c r="I84" s="20">
        <v>3.464</v>
      </c>
      <c r="J84" s="20">
        <v>16.6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18.6</v>
      </c>
      <c r="Q84" s="23">
        <v>1</v>
      </c>
      <c r="R84" s="23">
        <v>0</v>
      </c>
    </row>
    <row r="85" ht="16.5" spans="1:18">
      <c r="A85" s="19">
        <v>399258</v>
      </c>
      <c r="B85" s="19" t="s">
        <v>579</v>
      </c>
      <c r="C85" s="19">
        <v>2614.818</v>
      </c>
      <c r="D85" s="19">
        <v>2972.862</v>
      </c>
      <c r="E85" s="19">
        <v>1</v>
      </c>
      <c r="F85" s="20">
        <v>0</v>
      </c>
      <c r="G85" s="20">
        <v>0</v>
      </c>
      <c r="H85" s="20">
        <v>1</v>
      </c>
      <c r="I85" s="20">
        <v>3.384</v>
      </c>
      <c r="J85" s="20">
        <v>15.02</v>
      </c>
      <c r="K85" s="23">
        <v>4</v>
      </c>
      <c r="L85" s="23">
        <v>2</v>
      </c>
      <c r="M85" s="23">
        <v>-1</v>
      </c>
      <c r="N85" s="23">
        <v>1</v>
      </c>
      <c r="O85" s="23">
        <v>0</v>
      </c>
      <c r="P85" s="23">
        <v>32.205</v>
      </c>
      <c r="Q85" s="23">
        <v>1</v>
      </c>
      <c r="R85" s="23">
        <v>0</v>
      </c>
    </row>
    <row r="86" ht="16.5" spans="1:18">
      <c r="A86" s="19">
        <v>399259</v>
      </c>
      <c r="B86" s="19" t="s">
        <v>580</v>
      </c>
      <c r="C86" s="19">
        <v>2326.532</v>
      </c>
      <c r="D86" s="19">
        <v>2815.152</v>
      </c>
      <c r="E86" s="19">
        <v>1</v>
      </c>
      <c r="F86" s="20">
        <v>0</v>
      </c>
      <c r="G86" s="20">
        <v>0</v>
      </c>
      <c r="H86" s="20">
        <v>1</v>
      </c>
      <c r="I86" s="20">
        <v>3.139</v>
      </c>
      <c r="J86" s="20">
        <v>19.951</v>
      </c>
      <c r="K86" s="23">
        <v>4</v>
      </c>
      <c r="L86" s="23">
        <v>2</v>
      </c>
      <c r="M86" s="23">
        <v>0</v>
      </c>
      <c r="N86" s="23">
        <v>1</v>
      </c>
      <c r="O86" s="23">
        <v>0</v>
      </c>
      <c r="P86" s="23">
        <v>62.021</v>
      </c>
      <c r="Q86" s="23">
        <v>1</v>
      </c>
      <c r="R86" s="23">
        <v>0</v>
      </c>
    </row>
    <row r="87" ht="16.5" spans="1:18">
      <c r="A87" s="19">
        <v>399260</v>
      </c>
      <c r="B87" s="19" t="s">
        <v>581</v>
      </c>
      <c r="C87" s="19">
        <v>2264.421</v>
      </c>
      <c r="D87" s="19">
        <v>2548.247</v>
      </c>
      <c r="E87" s="19">
        <v>1</v>
      </c>
      <c r="F87" s="20">
        <v>0</v>
      </c>
      <c r="G87" s="20">
        <v>0</v>
      </c>
      <c r="H87" s="20">
        <v>1</v>
      </c>
      <c r="I87" s="20">
        <v>2.086</v>
      </c>
      <c r="J87" s="20">
        <v>12.992</v>
      </c>
      <c r="K87" s="23">
        <v>4</v>
      </c>
      <c r="L87" s="23">
        <v>2</v>
      </c>
      <c r="M87" s="23">
        <v>-1</v>
      </c>
      <c r="N87" s="23">
        <v>1</v>
      </c>
      <c r="O87" s="23">
        <v>0</v>
      </c>
      <c r="P87" s="23">
        <v>17.155</v>
      </c>
      <c r="Q87" s="23">
        <v>1</v>
      </c>
      <c r="R87" s="23">
        <v>0</v>
      </c>
    </row>
    <row r="88" ht="16.5" spans="1:18">
      <c r="A88" s="19">
        <v>399262</v>
      </c>
      <c r="B88" s="19" t="s">
        <v>368</v>
      </c>
      <c r="C88" s="19">
        <v>1316.597</v>
      </c>
      <c r="D88" s="19">
        <v>1545.964</v>
      </c>
      <c r="E88" s="19">
        <v>1</v>
      </c>
      <c r="F88" s="20">
        <v>0</v>
      </c>
      <c r="G88" s="20">
        <v>0</v>
      </c>
      <c r="H88" s="20">
        <v>1</v>
      </c>
      <c r="I88" s="20">
        <v>0.63</v>
      </c>
      <c r="J88" s="20">
        <v>15.373</v>
      </c>
      <c r="K88" s="23">
        <v>4</v>
      </c>
      <c r="L88" s="23">
        <v>2</v>
      </c>
      <c r="M88" s="23">
        <v>-1</v>
      </c>
      <c r="N88" s="23">
        <v>1</v>
      </c>
      <c r="O88" s="23">
        <v>0</v>
      </c>
      <c r="P88" s="23">
        <v>46.004</v>
      </c>
      <c r="Q88" s="23">
        <v>1</v>
      </c>
      <c r="R88" s="23">
        <v>0</v>
      </c>
    </row>
    <row r="89" ht="16.5" spans="1:18">
      <c r="A89" s="19">
        <v>399263</v>
      </c>
      <c r="B89" s="19" t="s">
        <v>582</v>
      </c>
      <c r="C89" s="19">
        <v>1230.154</v>
      </c>
      <c r="D89" s="19">
        <v>1467.414</v>
      </c>
      <c r="E89" s="19">
        <v>1</v>
      </c>
      <c r="F89" s="20">
        <v>0</v>
      </c>
      <c r="G89" s="20">
        <v>0</v>
      </c>
      <c r="H89" s="20">
        <v>1</v>
      </c>
      <c r="I89" s="20">
        <v>4.437</v>
      </c>
      <c r="J89" s="20">
        <v>19.888</v>
      </c>
      <c r="K89" s="23">
        <v>4</v>
      </c>
      <c r="L89" s="23">
        <v>2</v>
      </c>
      <c r="M89" s="23">
        <v>-1</v>
      </c>
      <c r="N89" s="23">
        <v>1</v>
      </c>
      <c r="O89" s="23">
        <v>0</v>
      </c>
      <c r="P89" s="23">
        <v>21.388</v>
      </c>
      <c r="Q89" s="23">
        <v>1</v>
      </c>
      <c r="R89" s="23">
        <v>0</v>
      </c>
    </row>
    <row r="90" ht="16.5" spans="1:18">
      <c r="A90" s="19">
        <v>399264</v>
      </c>
      <c r="B90" s="19" t="s">
        <v>583</v>
      </c>
      <c r="C90" s="19">
        <v>835.363</v>
      </c>
      <c r="D90" s="19">
        <v>991.345</v>
      </c>
      <c r="E90" s="19">
        <v>1</v>
      </c>
      <c r="F90" s="20">
        <v>0</v>
      </c>
      <c r="G90" s="20">
        <v>0</v>
      </c>
      <c r="H90" s="20">
        <v>1</v>
      </c>
      <c r="I90" s="20">
        <v>3.854</v>
      </c>
      <c r="J90" s="20">
        <v>18.982</v>
      </c>
      <c r="K90" s="23">
        <v>4</v>
      </c>
      <c r="L90" s="23">
        <v>2</v>
      </c>
      <c r="M90" s="23">
        <v>-1</v>
      </c>
      <c r="N90" s="23">
        <v>1</v>
      </c>
      <c r="O90" s="23">
        <v>0</v>
      </c>
      <c r="P90" s="23">
        <v>0.005</v>
      </c>
      <c r="Q90" s="23">
        <v>0</v>
      </c>
      <c r="R90" s="23">
        <v>0</v>
      </c>
    </row>
    <row r="91" ht="16.5" spans="1:18">
      <c r="A91" s="19">
        <v>399266</v>
      </c>
      <c r="B91" s="19" t="s">
        <v>584</v>
      </c>
      <c r="C91" s="19">
        <v>1688.778</v>
      </c>
      <c r="D91" s="19">
        <v>2076.699</v>
      </c>
      <c r="E91" s="19">
        <v>1</v>
      </c>
      <c r="F91" s="20">
        <v>0</v>
      </c>
      <c r="G91" s="20">
        <v>0</v>
      </c>
      <c r="H91" s="20">
        <v>1</v>
      </c>
      <c r="I91" s="20">
        <v>0.337</v>
      </c>
      <c r="J91" s="20">
        <v>18.954</v>
      </c>
      <c r="K91" s="23">
        <v>4</v>
      </c>
      <c r="L91" s="23">
        <v>2</v>
      </c>
      <c r="M91" s="23">
        <v>-1</v>
      </c>
      <c r="N91" s="23">
        <v>1</v>
      </c>
      <c r="O91" s="23">
        <v>0</v>
      </c>
      <c r="P91" s="23">
        <v>25.992</v>
      </c>
      <c r="Q91" s="23">
        <v>1</v>
      </c>
      <c r="R91" s="23">
        <v>0</v>
      </c>
    </row>
    <row r="92" ht="16.5" spans="1:18">
      <c r="A92" s="19">
        <v>399282</v>
      </c>
      <c r="B92" s="19" t="s">
        <v>585</v>
      </c>
      <c r="C92" s="19">
        <v>2756.63</v>
      </c>
      <c r="D92" s="19">
        <v>3295.778</v>
      </c>
      <c r="E92" s="19">
        <v>1</v>
      </c>
      <c r="F92" s="20">
        <v>0</v>
      </c>
      <c r="G92" s="20">
        <v>0</v>
      </c>
      <c r="H92" s="20">
        <v>1</v>
      </c>
      <c r="I92" s="20">
        <v>2.668</v>
      </c>
      <c r="J92" s="20">
        <v>18.59</v>
      </c>
      <c r="K92" s="23">
        <v>4</v>
      </c>
      <c r="L92" s="23">
        <v>2</v>
      </c>
      <c r="M92" s="23">
        <v>-1</v>
      </c>
      <c r="N92" s="23">
        <v>1</v>
      </c>
      <c r="O92" s="23">
        <v>0</v>
      </c>
      <c r="P92" s="23">
        <v>76.232</v>
      </c>
      <c r="Q92" s="23">
        <v>0</v>
      </c>
      <c r="R92" s="23">
        <v>0</v>
      </c>
    </row>
    <row r="93" ht="16.5" spans="1:18">
      <c r="A93" s="19">
        <v>399293</v>
      </c>
      <c r="B93" s="19" t="s">
        <v>586</v>
      </c>
      <c r="C93" s="19">
        <v>2894.287</v>
      </c>
      <c r="D93" s="19">
        <v>3420.904</v>
      </c>
      <c r="E93" s="19">
        <v>1</v>
      </c>
      <c r="F93" s="20">
        <v>0</v>
      </c>
      <c r="G93" s="20">
        <v>0</v>
      </c>
      <c r="H93" s="20">
        <v>1</v>
      </c>
      <c r="I93" s="20">
        <v>3.86</v>
      </c>
      <c r="J93" s="20">
        <v>18.66</v>
      </c>
      <c r="K93" s="23">
        <v>4</v>
      </c>
      <c r="L93" s="23">
        <v>2</v>
      </c>
      <c r="M93" s="23">
        <v>-1</v>
      </c>
      <c r="N93" s="23">
        <v>1</v>
      </c>
      <c r="O93" s="23">
        <v>0</v>
      </c>
      <c r="P93" s="23">
        <v>7.149</v>
      </c>
      <c r="Q93" s="23">
        <v>1</v>
      </c>
      <c r="R93" s="23">
        <v>0</v>
      </c>
    </row>
    <row r="94" ht="16.5" spans="1:18">
      <c r="A94" s="19">
        <v>399295</v>
      </c>
      <c r="B94" s="19" t="s">
        <v>362</v>
      </c>
      <c r="C94" s="19">
        <v>3428.116</v>
      </c>
      <c r="D94" s="19">
        <v>4033.843</v>
      </c>
      <c r="E94" s="19">
        <v>1</v>
      </c>
      <c r="F94" s="20">
        <v>0</v>
      </c>
      <c r="G94" s="20">
        <v>0</v>
      </c>
      <c r="H94" s="20">
        <v>1</v>
      </c>
      <c r="I94" s="20">
        <v>0.55</v>
      </c>
      <c r="J94" s="20">
        <v>15.483</v>
      </c>
      <c r="K94" s="23">
        <v>3</v>
      </c>
      <c r="L94" s="23">
        <v>2</v>
      </c>
      <c r="M94" s="23">
        <v>-1</v>
      </c>
      <c r="N94" s="23">
        <v>1</v>
      </c>
      <c r="O94" s="23">
        <v>0</v>
      </c>
      <c r="P94" s="23">
        <v>25.262</v>
      </c>
      <c r="Q94" s="23">
        <v>1</v>
      </c>
      <c r="R94" s="23">
        <v>0</v>
      </c>
    </row>
    <row r="95" ht="16.5" spans="1:18">
      <c r="A95" s="19">
        <v>399300</v>
      </c>
      <c r="B95" s="19" t="s">
        <v>541</v>
      </c>
      <c r="C95" s="19">
        <v>3286.143</v>
      </c>
      <c r="D95" s="19">
        <v>3625.192</v>
      </c>
      <c r="E95" s="19">
        <v>1</v>
      </c>
      <c r="F95" s="20">
        <v>0</v>
      </c>
      <c r="G95" s="20">
        <v>0</v>
      </c>
      <c r="H95" s="20">
        <v>1</v>
      </c>
      <c r="I95" s="20">
        <v>2.119</v>
      </c>
      <c r="J95" s="20">
        <v>11.274</v>
      </c>
      <c r="K95" s="23">
        <v>3</v>
      </c>
      <c r="L95" s="23">
        <v>2</v>
      </c>
      <c r="M95" s="23">
        <v>-1</v>
      </c>
      <c r="N95" s="23">
        <v>1</v>
      </c>
      <c r="O95" s="23">
        <v>0</v>
      </c>
      <c r="P95" s="23">
        <v>27.512</v>
      </c>
      <c r="Q95" s="23">
        <v>1</v>
      </c>
      <c r="R95" s="23">
        <v>0</v>
      </c>
    </row>
    <row r="96" ht="16.5" spans="1:18">
      <c r="A96" s="19">
        <v>399306</v>
      </c>
      <c r="B96" s="19" t="s">
        <v>587</v>
      </c>
      <c r="C96" s="19">
        <v>1165.417</v>
      </c>
      <c r="D96" s="19">
        <v>1283.555</v>
      </c>
      <c r="E96" s="19">
        <v>1</v>
      </c>
      <c r="F96" s="20">
        <v>0</v>
      </c>
      <c r="G96" s="20">
        <v>0</v>
      </c>
      <c r="H96" s="20">
        <v>1</v>
      </c>
      <c r="I96" s="20">
        <v>3.71</v>
      </c>
      <c r="J96" s="20">
        <v>12.572</v>
      </c>
      <c r="K96" s="23">
        <v>4</v>
      </c>
      <c r="L96" s="23">
        <v>2</v>
      </c>
      <c r="M96" s="23">
        <v>-1</v>
      </c>
      <c r="N96" s="23">
        <v>1</v>
      </c>
      <c r="O96" s="23">
        <v>0</v>
      </c>
      <c r="P96" s="23">
        <v>30.002</v>
      </c>
      <c r="Q96" s="23">
        <v>0</v>
      </c>
      <c r="R96" s="23">
        <v>0</v>
      </c>
    </row>
    <row r="97" ht="16.5" spans="1:18">
      <c r="A97" s="19">
        <v>399311</v>
      </c>
      <c r="B97" s="19" t="s">
        <v>588</v>
      </c>
      <c r="C97" s="19">
        <v>3360.748</v>
      </c>
      <c r="D97" s="19">
        <v>3749.337</v>
      </c>
      <c r="E97" s="19">
        <v>1</v>
      </c>
      <c r="F97" s="20">
        <v>0</v>
      </c>
      <c r="G97" s="20">
        <v>0</v>
      </c>
      <c r="H97" s="20">
        <v>1</v>
      </c>
      <c r="I97" s="20">
        <v>1.091</v>
      </c>
      <c r="J97" s="20">
        <v>11.342</v>
      </c>
      <c r="K97" s="23">
        <v>4</v>
      </c>
      <c r="L97" s="23">
        <v>2</v>
      </c>
      <c r="M97" s="23">
        <v>-1</v>
      </c>
      <c r="N97" s="23">
        <v>1</v>
      </c>
      <c r="O97" s="23">
        <v>0</v>
      </c>
      <c r="P97" s="23">
        <v>102.798</v>
      </c>
      <c r="Q97" s="23">
        <v>1</v>
      </c>
      <c r="R97" s="23">
        <v>0</v>
      </c>
    </row>
    <row r="98" ht="16.5" spans="1:18">
      <c r="A98" s="19">
        <v>399312</v>
      </c>
      <c r="B98" s="19" t="s">
        <v>589</v>
      </c>
      <c r="C98" s="19">
        <v>3704.929</v>
      </c>
      <c r="D98" s="19">
        <v>4108.492</v>
      </c>
      <c r="E98" s="19">
        <v>1</v>
      </c>
      <c r="F98" s="20">
        <v>0</v>
      </c>
      <c r="G98" s="20">
        <v>0</v>
      </c>
      <c r="H98" s="20">
        <v>1</v>
      </c>
      <c r="I98" s="20">
        <v>1.854</v>
      </c>
      <c r="J98" s="20">
        <v>11.494</v>
      </c>
      <c r="K98" s="23">
        <v>2</v>
      </c>
      <c r="L98" s="23">
        <v>2</v>
      </c>
      <c r="M98" s="23">
        <v>0</v>
      </c>
      <c r="N98" s="23">
        <v>1</v>
      </c>
      <c r="O98" s="23">
        <v>0</v>
      </c>
      <c r="P98" s="23">
        <v>93.787</v>
      </c>
      <c r="Q98" s="23">
        <v>0</v>
      </c>
      <c r="R98" s="23">
        <v>1</v>
      </c>
    </row>
    <row r="99" ht="16.5" spans="1:18">
      <c r="A99" s="19">
        <v>399313</v>
      </c>
      <c r="B99" s="19" t="s">
        <v>590</v>
      </c>
      <c r="C99" s="19">
        <v>3972.147</v>
      </c>
      <c r="D99" s="19">
        <v>4364.514</v>
      </c>
      <c r="E99" s="19">
        <v>1</v>
      </c>
      <c r="F99" s="20">
        <v>0</v>
      </c>
      <c r="G99" s="20">
        <v>0</v>
      </c>
      <c r="H99" s="20">
        <v>1</v>
      </c>
      <c r="I99" s="20">
        <v>3.614</v>
      </c>
      <c r="J99" s="20">
        <v>12.279</v>
      </c>
      <c r="K99" s="23">
        <v>4</v>
      </c>
      <c r="L99" s="23">
        <v>2</v>
      </c>
      <c r="M99" s="23">
        <v>-1</v>
      </c>
      <c r="N99" s="23">
        <v>1</v>
      </c>
      <c r="O99" s="23">
        <v>0</v>
      </c>
      <c r="P99" s="23">
        <v>11.887</v>
      </c>
      <c r="Q99" s="23">
        <v>1</v>
      </c>
      <c r="R99" s="23">
        <v>0</v>
      </c>
    </row>
    <row r="100" ht="16.5" spans="1:18">
      <c r="A100" s="19">
        <v>399314</v>
      </c>
      <c r="B100" s="19" t="s">
        <v>591</v>
      </c>
      <c r="C100" s="19">
        <v>3636.669</v>
      </c>
      <c r="D100" s="19">
        <v>3997.695</v>
      </c>
      <c r="E100" s="19">
        <v>1</v>
      </c>
      <c r="F100" s="20">
        <v>0</v>
      </c>
      <c r="G100" s="20">
        <v>0</v>
      </c>
      <c r="H100" s="20">
        <v>1</v>
      </c>
      <c r="I100" s="20">
        <v>2.817</v>
      </c>
      <c r="J100" s="20">
        <v>11.593</v>
      </c>
      <c r="K100" s="23">
        <v>4</v>
      </c>
      <c r="L100" s="23">
        <v>2</v>
      </c>
      <c r="M100" s="23">
        <v>0</v>
      </c>
      <c r="N100" s="23">
        <v>1</v>
      </c>
      <c r="O100" s="23">
        <v>0</v>
      </c>
      <c r="P100" s="23">
        <v>54.181</v>
      </c>
      <c r="Q100" s="23">
        <v>1</v>
      </c>
      <c r="R100" s="23">
        <v>0</v>
      </c>
    </row>
    <row r="101" ht="16.5" spans="1:18">
      <c r="A101" s="19">
        <v>399317</v>
      </c>
      <c r="B101" s="19" t="s">
        <v>592</v>
      </c>
      <c r="C101" s="19">
        <v>4259.487</v>
      </c>
      <c r="D101" s="19">
        <v>4751.474</v>
      </c>
      <c r="E101" s="19">
        <v>1</v>
      </c>
      <c r="F101" s="20">
        <v>0</v>
      </c>
      <c r="G101" s="20">
        <v>0</v>
      </c>
      <c r="H101" s="20">
        <v>1</v>
      </c>
      <c r="I101" s="20">
        <v>1.569</v>
      </c>
      <c r="J101" s="20">
        <v>11.761</v>
      </c>
      <c r="K101" s="23">
        <v>4</v>
      </c>
      <c r="L101" s="23">
        <v>1</v>
      </c>
      <c r="M101" s="23">
        <v>0</v>
      </c>
      <c r="N101" s="23">
        <v>1</v>
      </c>
      <c r="O101" s="23">
        <v>0</v>
      </c>
      <c r="P101" s="23">
        <v>21.647</v>
      </c>
      <c r="Q101" s="23">
        <v>0</v>
      </c>
      <c r="R101" s="23">
        <v>0</v>
      </c>
    </row>
    <row r="102" ht="16.5" spans="1:18">
      <c r="A102" s="19">
        <v>399322</v>
      </c>
      <c r="B102" s="19" t="s">
        <v>593</v>
      </c>
      <c r="C102" s="19">
        <v>7704.486</v>
      </c>
      <c r="D102" s="19">
        <v>8628.578</v>
      </c>
      <c r="E102" s="19">
        <v>1</v>
      </c>
      <c r="F102" s="20">
        <v>0</v>
      </c>
      <c r="G102" s="20">
        <v>0</v>
      </c>
      <c r="H102" s="20">
        <v>1</v>
      </c>
      <c r="I102" s="20">
        <v>2.243</v>
      </c>
      <c r="J102" s="20">
        <v>12.712</v>
      </c>
      <c r="K102" s="23">
        <v>3</v>
      </c>
      <c r="L102" s="23">
        <v>2</v>
      </c>
      <c r="M102" s="23">
        <v>0</v>
      </c>
      <c r="N102" s="23">
        <v>0</v>
      </c>
      <c r="O102" s="23">
        <v>0</v>
      </c>
      <c r="P102" s="23">
        <v>7.015</v>
      </c>
      <c r="Q102" s="23">
        <v>0</v>
      </c>
      <c r="R102" s="23">
        <v>0</v>
      </c>
    </row>
    <row r="103" ht="16.5" spans="1:18">
      <c r="A103" s="19">
        <v>399324</v>
      </c>
      <c r="B103" s="19" t="s">
        <v>594</v>
      </c>
      <c r="C103" s="19">
        <v>7461.625</v>
      </c>
      <c r="D103" s="19">
        <v>8598.318</v>
      </c>
      <c r="E103" s="19">
        <v>1</v>
      </c>
      <c r="F103" s="20">
        <v>0</v>
      </c>
      <c r="G103" s="20">
        <v>0</v>
      </c>
      <c r="H103" s="20">
        <v>1</v>
      </c>
      <c r="I103" s="20">
        <v>0.277</v>
      </c>
      <c r="J103" s="20">
        <v>13.46</v>
      </c>
      <c r="K103" s="23">
        <v>4</v>
      </c>
      <c r="L103" s="23">
        <v>2</v>
      </c>
      <c r="M103" s="23">
        <v>0</v>
      </c>
      <c r="N103" s="23">
        <v>1</v>
      </c>
      <c r="O103" s="23">
        <v>0</v>
      </c>
      <c r="P103" s="23">
        <v>6.162</v>
      </c>
      <c r="Q103" s="23">
        <v>0</v>
      </c>
      <c r="R103" s="23">
        <v>0</v>
      </c>
    </row>
    <row r="104" ht="16.5" spans="1:18">
      <c r="A104" s="19">
        <v>399326</v>
      </c>
      <c r="B104" s="19" t="s">
        <v>595</v>
      </c>
      <c r="C104" s="19">
        <v>2914.924</v>
      </c>
      <c r="D104" s="19">
        <v>3354.379</v>
      </c>
      <c r="E104" s="19">
        <v>1</v>
      </c>
      <c r="F104" s="20">
        <v>0</v>
      </c>
      <c r="G104" s="20">
        <v>0</v>
      </c>
      <c r="H104" s="20">
        <v>1</v>
      </c>
      <c r="I104" s="20">
        <v>6.428</v>
      </c>
      <c r="J104" s="20">
        <v>18.687</v>
      </c>
      <c r="K104" s="23">
        <v>4</v>
      </c>
      <c r="L104" s="23">
        <v>2</v>
      </c>
      <c r="M104" s="23">
        <v>-1</v>
      </c>
      <c r="N104" s="23">
        <v>1</v>
      </c>
      <c r="O104" s="23">
        <v>0</v>
      </c>
      <c r="P104" s="23">
        <v>46.544</v>
      </c>
      <c r="Q104" s="23">
        <v>1</v>
      </c>
      <c r="R104" s="23">
        <v>0</v>
      </c>
    </row>
    <row r="105" ht="16.5" spans="1:18">
      <c r="A105" s="19">
        <v>399330</v>
      </c>
      <c r="B105" s="19" t="s">
        <v>596</v>
      </c>
      <c r="C105" s="19">
        <v>3753.299</v>
      </c>
      <c r="D105" s="19">
        <v>4277.023</v>
      </c>
      <c r="E105" s="19">
        <v>1</v>
      </c>
      <c r="F105" s="20">
        <v>0</v>
      </c>
      <c r="G105" s="20">
        <v>0</v>
      </c>
      <c r="H105" s="20">
        <v>1</v>
      </c>
      <c r="I105" s="20">
        <v>2.504</v>
      </c>
      <c r="J105" s="20">
        <v>14.443</v>
      </c>
      <c r="K105" s="23">
        <v>3</v>
      </c>
      <c r="L105" s="23">
        <v>2</v>
      </c>
      <c r="M105" s="23">
        <v>0</v>
      </c>
      <c r="N105" s="23">
        <v>0</v>
      </c>
      <c r="O105" s="23">
        <v>0</v>
      </c>
      <c r="P105" s="23">
        <v>0.013</v>
      </c>
      <c r="Q105" s="23">
        <v>0</v>
      </c>
      <c r="R105" s="23">
        <v>-1</v>
      </c>
    </row>
    <row r="106" ht="16.5" spans="1:18">
      <c r="A106" s="19">
        <v>399333</v>
      </c>
      <c r="B106" s="19" t="s">
        <v>597</v>
      </c>
      <c r="C106" s="19">
        <v>6307.877</v>
      </c>
      <c r="D106" s="19">
        <v>7011.962</v>
      </c>
      <c r="E106" s="19">
        <v>1</v>
      </c>
      <c r="F106" s="20">
        <v>0</v>
      </c>
      <c r="G106" s="20">
        <v>0</v>
      </c>
      <c r="H106" s="20">
        <v>1</v>
      </c>
      <c r="I106" s="20">
        <v>2.093</v>
      </c>
      <c r="J106" s="20">
        <v>11.924</v>
      </c>
      <c r="K106" s="23">
        <v>2</v>
      </c>
      <c r="L106" s="23">
        <v>2</v>
      </c>
      <c r="M106" s="23">
        <v>0</v>
      </c>
      <c r="N106" s="23">
        <v>1</v>
      </c>
      <c r="O106" s="23">
        <v>0</v>
      </c>
      <c r="P106" s="23">
        <v>25.827</v>
      </c>
      <c r="Q106" s="23">
        <v>0</v>
      </c>
      <c r="R106" s="23">
        <v>0</v>
      </c>
    </row>
    <row r="107" ht="16.5" spans="1:18">
      <c r="A107" s="19">
        <v>399337</v>
      </c>
      <c r="B107" s="19" t="s">
        <v>598</v>
      </c>
      <c r="C107" s="19">
        <v>3527.114</v>
      </c>
      <c r="D107" s="19">
        <v>3999.186</v>
      </c>
      <c r="E107" s="19">
        <v>1</v>
      </c>
      <c r="F107" s="20">
        <v>0</v>
      </c>
      <c r="G107" s="20">
        <v>0</v>
      </c>
      <c r="H107" s="20">
        <v>1</v>
      </c>
      <c r="I107" s="20">
        <v>4.173</v>
      </c>
      <c r="J107" s="20">
        <v>15.485</v>
      </c>
      <c r="K107" s="23">
        <v>4</v>
      </c>
      <c r="L107" s="23">
        <v>2</v>
      </c>
      <c r="M107" s="23">
        <v>-1</v>
      </c>
      <c r="N107" s="23">
        <v>1</v>
      </c>
      <c r="O107" s="23">
        <v>0</v>
      </c>
      <c r="P107" s="23">
        <v>33.981</v>
      </c>
      <c r="Q107" s="23">
        <v>1</v>
      </c>
      <c r="R107" s="23">
        <v>0</v>
      </c>
    </row>
    <row r="108" ht="16.5" spans="1:18">
      <c r="A108" s="19">
        <v>399339</v>
      </c>
      <c r="B108" s="19" t="s">
        <v>599</v>
      </c>
      <c r="C108" s="19">
        <v>5256.533</v>
      </c>
      <c r="D108" s="19">
        <v>5962.408</v>
      </c>
      <c r="E108" s="19">
        <v>1</v>
      </c>
      <c r="F108" s="20">
        <v>0</v>
      </c>
      <c r="G108" s="20">
        <v>0</v>
      </c>
      <c r="H108" s="20">
        <v>1</v>
      </c>
      <c r="I108" s="20">
        <v>3.056</v>
      </c>
      <c r="J108" s="20">
        <v>14.533</v>
      </c>
      <c r="K108" s="23">
        <v>2</v>
      </c>
      <c r="L108" s="23">
        <v>2</v>
      </c>
      <c r="M108" s="23">
        <v>-1</v>
      </c>
      <c r="N108" s="23">
        <v>1</v>
      </c>
      <c r="O108" s="23">
        <v>0</v>
      </c>
      <c r="P108" s="23">
        <v>25.769</v>
      </c>
      <c r="Q108" s="23">
        <v>1</v>
      </c>
      <c r="R108" s="23">
        <v>0</v>
      </c>
    </row>
    <row r="109" ht="16.5" spans="1:18">
      <c r="A109" s="19">
        <v>399341</v>
      </c>
      <c r="B109" s="19" t="s">
        <v>600</v>
      </c>
      <c r="C109" s="19">
        <v>1296.868</v>
      </c>
      <c r="D109" s="19">
        <v>1491.714</v>
      </c>
      <c r="E109" s="19">
        <v>1</v>
      </c>
      <c r="F109" s="20">
        <v>0</v>
      </c>
      <c r="G109" s="20">
        <v>0</v>
      </c>
      <c r="H109" s="20">
        <v>1</v>
      </c>
      <c r="I109" s="20">
        <v>0.055</v>
      </c>
      <c r="J109" s="20">
        <v>13.11</v>
      </c>
      <c r="K109" s="23">
        <v>4</v>
      </c>
      <c r="L109" s="23">
        <v>2</v>
      </c>
      <c r="M109" s="23">
        <v>-1</v>
      </c>
      <c r="N109" s="23">
        <v>1</v>
      </c>
      <c r="O109" s="23">
        <v>0</v>
      </c>
      <c r="P109" s="23">
        <v>38.914</v>
      </c>
      <c r="Q109" s="23">
        <v>1</v>
      </c>
      <c r="R109" s="23">
        <v>0</v>
      </c>
    </row>
    <row r="110" ht="16.5" spans="1:18">
      <c r="A110" s="19">
        <v>399344</v>
      </c>
      <c r="B110" s="19" t="s">
        <v>601</v>
      </c>
      <c r="C110" s="19">
        <v>4506.583</v>
      </c>
      <c r="D110" s="19">
        <v>5124.505</v>
      </c>
      <c r="E110" s="19">
        <v>1</v>
      </c>
      <c r="F110" s="20">
        <v>0</v>
      </c>
      <c r="G110" s="20">
        <v>0</v>
      </c>
      <c r="H110" s="20">
        <v>1</v>
      </c>
      <c r="I110" s="20">
        <v>2.322</v>
      </c>
      <c r="J110" s="20">
        <v>14.101</v>
      </c>
      <c r="K110" s="23">
        <v>2</v>
      </c>
      <c r="L110" s="23">
        <v>2</v>
      </c>
      <c r="M110" s="23">
        <v>0</v>
      </c>
      <c r="N110" s="23">
        <v>1</v>
      </c>
      <c r="O110" s="23">
        <v>0</v>
      </c>
      <c r="P110" s="23">
        <v>71.394</v>
      </c>
      <c r="Q110" s="23">
        <v>0</v>
      </c>
      <c r="R110" s="23">
        <v>0</v>
      </c>
    </row>
    <row r="111" ht="16.5" spans="1:18">
      <c r="A111" s="19">
        <v>399346</v>
      </c>
      <c r="B111" s="19" t="s">
        <v>350</v>
      </c>
      <c r="C111" s="19">
        <v>2343.826</v>
      </c>
      <c r="D111" s="19">
        <v>2746.785</v>
      </c>
      <c r="E111" s="19">
        <v>1</v>
      </c>
      <c r="F111" s="20">
        <v>0</v>
      </c>
      <c r="G111" s="20">
        <v>0</v>
      </c>
      <c r="H111" s="20">
        <v>1</v>
      </c>
      <c r="I111" s="20">
        <v>1.242</v>
      </c>
      <c r="J111" s="20">
        <v>15.73</v>
      </c>
      <c r="K111" s="23">
        <v>2</v>
      </c>
      <c r="L111" s="23">
        <v>2</v>
      </c>
      <c r="M111" s="23">
        <v>-1</v>
      </c>
      <c r="N111" s="23">
        <v>1</v>
      </c>
      <c r="O111" s="23">
        <v>0</v>
      </c>
      <c r="P111" s="23">
        <v>8.459</v>
      </c>
      <c r="Q111" s="23">
        <v>1</v>
      </c>
      <c r="R111" s="23">
        <v>0</v>
      </c>
    </row>
    <row r="112" ht="16.5" spans="1:18">
      <c r="A112" s="19">
        <v>399348</v>
      </c>
      <c r="B112" s="19" t="s">
        <v>602</v>
      </c>
      <c r="C112" s="19">
        <v>5036.877</v>
      </c>
      <c r="D112" s="19">
        <v>5700.439</v>
      </c>
      <c r="E112" s="19">
        <v>1</v>
      </c>
      <c r="F112" s="20">
        <v>0</v>
      </c>
      <c r="G112" s="20">
        <v>0</v>
      </c>
      <c r="H112" s="20">
        <v>1</v>
      </c>
      <c r="I112" s="20">
        <v>1.075</v>
      </c>
      <c r="J112" s="20">
        <v>12.59</v>
      </c>
      <c r="K112" s="23">
        <v>4</v>
      </c>
      <c r="L112" s="23">
        <v>2</v>
      </c>
      <c r="M112" s="23">
        <v>-1</v>
      </c>
      <c r="N112" s="23">
        <v>1</v>
      </c>
      <c r="O112" s="23">
        <v>0</v>
      </c>
      <c r="P112" s="23">
        <v>35.568</v>
      </c>
      <c r="Q112" s="23">
        <v>0</v>
      </c>
      <c r="R112" s="23">
        <v>0</v>
      </c>
    </row>
    <row r="113" ht="16.5" spans="1:18">
      <c r="A113" s="19">
        <v>399351</v>
      </c>
      <c r="B113" s="19" t="s">
        <v>603</v>
      </c>
      <c r="C113" s="19">
        <v>7013.565</v>
      </c>
      <c r="D113" s="19">
        <v>7796.026</v>
      </c>
      <c r="E113" s="19">
        <v>1</v>
      </c>
      <c r="F113" s="20">
        <v>0</v>
      </c>
      <c r="G113" s="20">
        <v>0</v>
      </c>
      <c r="H113" s="20">
        <v>1</v>
      </c>
      <c r="I113" s="20">
        <v>3.999</v>
      </c>
      <c r="J113" s="20">
        <v>13.635</v>
      </c>
      <c r="K113" s="23">
        <v>4</v>
      </c>
      <c r="L113" s="23">
        <v>2</v>
      </c>
      <c r="M113" s="23">
        <v>-1</v>
      </c>
      <c r="N113" s="23">
        <v>1</v>
      </c>
      <c r="O113" s="23">
        <v>0</v>
      </c>
      <c r="P113" s="23">
        <v>43.814</v>
      </c>
      <c r="Q113" s="23">
        <v>1</v>
      </c>
      <c r="R113" s="23">
        <v>0</v>
      </c>
    </row>
    <row r="114" ht="16.5" spans="1:18">
      <c r="A114" s="19">
        <v>399355</v>
      </c>
      <c r="B114" s="19" t="s">
        <v>604</v>
      </c>
      <c r="C114" s="19">
        <v>2487.259</v>
      </c>
      <c r="D114" s="19">
        <v>2712.171</v>
      </c>
      <c r="E114" s="19">
        <v>1</v>
      </c>
      <c r="F114" s="20">
        <v>0</v>
      </c>
      <c r="G114" s="20">
        <v>0</v>
      </c>
      <c r="H114" s="20">
        <v>1</v>
      </c>
      <c r="I114" s="20">
        <v>4.386</v>
      </c>
      <c r="J114" s="20">
        <v>12.315</v>
      </c>
      <c r="K114" s="23">
        <v>4</v>
      </c>
      <c r="L114" s="23">
        <v>2</v>
      </c>
      <c r="M114" s="23">
        <v>-1</v>
      </c>
      <c r="N114" s="23">
        <v>1</v>
      </c>
      <c r="O114" s="23">
        <v>0</v>
      </c>
      <c r="P114" s="23">
        <v>59.271</v>
      </c>
      <c r="Q114" s="23">
        <v>0</v>
      </c>
      <c r="R114" s="23">
        <v>0</v>
      </c>
    </row>
    <row r="115" ht="16.5" spans="1:18">
      <c r="A115" s="19">
        <v>399357</v>
      </c>
      <c r="B115" s="19" t="s">
        <v>605</v>
      </c>
      <c r="C115" s="19">
        <v>2644.782</v>
      </c>
      <c r="D115" s="19">
        <v>2822.012</v>
      </c>
      <c r="E115" s="19">
        <v>1</v>
      </c>
      <c r="F115" s="20">
        <v>0</v>
      </c>
      <c r="G115" s="20">
        <v>0</v>
      </c>
      <c r="H115" s="20">
        <v>1</v>
      </c>
      <c r="I115" s="20">
        <v>0.836</v>
      </c>
      <c r="J115" s="20">
        <v>7.063</v>
      </c>
      <c r="K115" s="23">
        <v>4</v>
      </c>
      <c r="L115" s="23">
        <v>2</v>
      </c>
      <c r="M115" s="23">
        <v>-1</v>
      </c>
      <c r="N115" s="23">
        <v>1</v>
      </c>
      <c r="O115" s="23">
        <v>0</v>
      </c>
      <c r="P115" s="23">
        <v>38.981</v>
      </c>
      <c r="Q115" s="23">
        <v>1</v>
      </c>
      <c r="R115" s="23">
        <v>0</v>
      </c>
    </row>
    <row r="116" ht="16.5" spans="1:18">
      <c r="A116" s="19">
        <v>399358</v>
      </c>
      <c r="B116" s="19" t="s">
        <v>606</v>
      </c>
      <c r="C116" s="19">
        <v>3721.708</v>
      </c>
      <c r="D116" s="19">
        <v>4143.228</v>
      </c>
      <c r="E116" s="19">
        <v>1</v>
      </c>
      <c r="F116" s="20">
        <v>0</v>
      </c>
      <c r="G116" s="20">
        <v>0</v>
      </c>
      <c r="H116" s="20">
        <v>1</v>
      </c>
      <c r="I116" s="20">
        <v>1.984</v>
      </c>
      <c r="J116" s="20">
        <v>11.956</v>
      </c>
      <c r="K116" s="23">
        <v>4</v>
      </c>
      <c r="L116" s="23">
        <v>2</v>
      </c>
      <c r="M116" s="23">
        <v>-1</v>
      </c>
      <c r="N116" s="23">
        <v>1</v>
      </c>
      <c r="O116" s="23">
        <v>0</v>
      </c>
      <c r="P116" s="23">
        <v>58.104</v>
      </c>
      <c r="Q116" s="23">
        <v>1</v>
      </c>
      <c r="R116" s="23">
        <v>0</v>
      </c>
    </row>
    <row r="117" ht="16.5" spans="1:18">
      <c r="A117" s="19">
        <v>399361</v>
      </c>
      <c r="B117" s="19" t="s">
        <v>479</v>
      </c>
      <c r="C117" s="19">
        <v>2225.629</v>
      </c>
      <c r="D117" s="19">
        <v>2649.328</v>
      </c>
      <c r="E117" s="19">
        <v>1</v>
      </c>
      <c r="F117" s="20">
        <v>0</v>
      </c>
      <c r="G117" s="20">
        <v>0</v>
      </c>
      <c r="H117" s="20">
        <v>1</v>
      </c>
      <c r="I117" s="20">
        <v>0.963</v>
      </c>
      <c r="J117" s="20">
        <v>16.802</v>
      </c>
      <c r="K117" s="23">
        <v>4</v>
      </c>
      <c r="L117" s="23">
        <v>2</v>
      </c>
      <c r="M117" s="23">
        <v>-1</v>
      </c>
      <c r="N117" s="23">
        <v>1</v>
      </c>
      <c r="O117" s="23">
        <v>0</v>
      </c>
      <c r="P117" s="23">
        <v>56.21</v>
      </c>
      <c r="Q117" s="23">
        <v>1</v>
      </c>
      <c r="R117" s="23">
        <v>0</v>
      </c>
    </row>
    <row r="118" ht="16.5" spans="1:18">
      <c r="A118" s="19">
        <v>399362</v>
      </c>
      <c r="B118" s="19" t="s">
        <v>607</v>
      </c>
      <c r="C118" s="19">
        <v>4997.27</v>
      </c>
      <c r="D118" s="19">
        <v>5659.599</v>
      </c>
      <c r="E118" s="19">
        <v>1</v>
      </c>
      <c r="F118" s="20">
        <v>0</v>
      </c>
      <c r="G118" s="20">
        <v>0</v>
      </c>
      <c r="H118" s="20">
        <v>1</v>
      </c>
      <c r="I118" s="20">
        <v>3.507</v>
      </c>
      <c r="J118" s="20">
        <v>14.799</v>
      </c>
      <c r="K118" s="23">
        <v>2</v>
      </c>
      <c r="L118" s="23">
        <v>2</v>
      </c>
      <c r="M118" s="23">
        <v>0</v>
      </c>
      <c r="N118" s="23">
        <v>1</v>
      </c>
      <c r="O118" s="23">
        <v>0</v>
      </c>
      <c r="P118" s="23">
        <v>18.471</v>
      </c>
      <c r="Q118" s="23">
        <v>0</v>
      </c>
      <c r="R118" s="23">
        <v>0</v>
      </c>
    </row>
    <row r="119" ht="16.5" spans="1:18">
      <c r="A119" s="19">
        <v>399364</v>
      </c>
      <c r="B119" s="19" t="s">
        <v>44</v>
      </c>
      <c r="C119" s="19">
        <v>6747.311</v>
      </c>
      <c r="D119" s="19">
        <v>7624.445</v>
      </c>
      <c r="E119" s="19">
        <v>1</v>
      </c>
      <c r="F119" s="20">
        <v>0</v>
      </c>
      <c r="G119" s="20">
        <v>0</v>
      </c>
      <c r="H119" s="20">
        <v>1</v>
      </c>
      <c r="I119" s="20">
        <v>0.372</v>
      </c>
      <c r="J119" s="20">
        <v>11.833</v>
      </c>
      <c r="K119" s="23">
        <v>3</v>
      </c>
      <c r="L119" s="23">
        <v>2</v>
      </c>
      <c r="M119" s="23">
        <v>-1</v>
      </c>
      <c r="N119" s="23">
        <v>1</v>
      </c>
      <c r="O119" s="23">
        <v>0</v>
      </c>
      <c r="P119" s="23">
        <v>37.005</v>
      </c>
      <c r="Q119" s="23">
        <v>1</v>
      </c>
      <c r="R119" s="23">
        <v>0</v>
      </c>
    </row>
    <row r="120" ht="16.5" spans="1:18">
      <c r="A120" s="19">
        <v>399367</v>
      </c>
      <c r="B120" s="19" t="s">
        <v>608</v>
      </c>
      <c r="C120" s="19">
        <v>2111.726</v>
      </c>
      <c r="D120" s="19">
        <v>2662.623</v>
      </c>
      <c r="E120" s="19">
        <v>1</v>
      </c>
      <c r="F120" s="20">
        <v>0</v>
      </c>
      <c r="G120" s="20">
        <v>0</v>
      </c>
      <c r="H120" s="20">
        <v>1</v>
      </c>
      <c r="I120" s="20">
        <v>2.75</v>
      </c>
      <c r="J120" s="20">
        <v>22.871</v>
      </c>
      <c r="K120" s="23">
        <v>2</v>
      </c>
      <c r="L120" s="23">
        <v>2</v>
      </c>
      <c r="M120" s="23">
        <v>-1</v>
      </c>
      <c r="N120" s="23">
        <v>1</v>
      </c>
      <c r="O120" s="23">
        <v>0</v>
      </c>
      <c r="P120" s="23">
        <v>26.359</v>
      </c>
      <c r="Q120" s="23">
        <v>1</v>
      </c>
      <c r="R120" s="23">
        <v>0</v>
      </c>
    </row>
    <row r="121" ht="16.5" spans="1:18">
      <c r="A121" s="19">
        <v>399369</v>
      </c>
      <c r="B121" s="19" t="s">
        <v>609</v>
      </c>
      <c r="C121" s="19">
        <v>1270.958</v>
      </c>
      <c r="D121" s="19">
        <v>1437.866</v>
      </c>
      <c r="E121" s="19">
        <v>1</v>
      </c>
      <c r="F121" s="20">
        <v>0</v>
      </c>
      <c r="G121" s="20">
        <v>0</v>
      </c>
      <c r="H121" s="20">
        <v>1</v>
      </c>
      <c r="I121" s="20">
        <v>0.69</v>
      </c>
      <c r="J121" s="20">
        <v>12.218</v>
      </c>
      <c r="K121" s="23">
        <v>4</v>
      </c>
      <c r="L121" s="23">
        <v>2</v>
      </c>
      <c r="M121" s="23">
        <v>0</v>
      </c>
      <c r="N121" s="23">
        <v>1</v>
      </c>
      <c r="O121" s="23">
        <v>0</v>
      </c>
      <c r="P121" s="23">
        <v>0.183</v>
      </c>
      <c r="Q121" s="23">
        <v>1</v>
      </c>
      <c r="R121" s="23">
        <v>0</v>
      </c>
    </row>
    <row r="122" ht="16.5" spans="1:18">
      <c r="A122" s="19">
        <v>399371</v>
      </c>
      <c r="B122" s="19" t="s">
        <v>610</v>
      </c>
      <c r="C122" s="19">
        <v>5653.31</v>
      </c>
      <c r="D122" s="19">
        <v>6216.188</v>
      </c>
      <c r="E122" s="19">
        <v>1</v>
      </c>
      <c r="F122" s="20">
        <v>0</v>
      </c>
      <c r="G122" s="20">
        <v>0</v>
      </c>
      <c r="H122" s="20">
        <v>1</v>
      </c>
      <c r="I122" s="20">
        <v>0.119</v>
      </c>
      <c r="J122" s="20">
        <v>9.164</v>
      </c>
      <c r="K122" s="23">
        <v>4</v>
      </c>
      <c r="L122" s="23">
        <v>2</v>
      </c>
      <c r="M122" s="23">
        <v>-1</v>
      </c>
      <c r="N122" s="23">
        <v>1</v>
      </c>
      <c r="O122" s="23">
        <v>0</v>
      </c>
      <c r="P122" s="23">
        <v>40.484</v>
      </c>
      <c r="Q122" s="23">
        <v>0</v>
      </c>
      <c r="R122" s="23">
        <v>0</v>
      </c>
    </row>
    <row r="123" ht="16.5" spans="1:18">
      <c r="A123" s="19">
        <v>399372</v>
      </c>
      <c r="B123" s="19" t="s">
        <v>344</v>
      </c>
      <c r="C123" s="19">
        <v>3332.302</v>
      </c>
      <c r="D123" s="19">
        <v>3827.418</v>
      </c>
      <c r="E123" s="19">
        <v>1</v>
      </c>
      <c r="F123" s="20">
        <v>0</v>
      </c>
      <c r="G123" s="20">
        <v>0</v>
      </c>
      <c r="H123" s="20">
        <v>1</v>
      </c>
      <c r="I123" s="20">
        <v>1.784</v>
      </c>
      <c r="J123" s="20">
        <v>14.489</v>
      </c>
      <c r="K123" s="23">
        <v>4</v>
      </c>
      <c r="L123" s="23">
        <v>2</v>
      </c>
      <c r="M123" s="23">
        <v>-1</v>
      </c>
      <c r="N123" s="23">
        <v>1</v>
      </c>
      <c r="O123" s="23">
        <v>0</v>
      </c>
      <c r="P123" s="23">
        <v>33.84</v>
      </c>
      <c r="Q123" s="23">
        <v>0</v>
      </c>
      <c r="R123" s="23">
        <v>0</v>
      </c>
    </row>
    <row r="124" ht="16.5" spans="1:18">
      <c r="A124" s="19">
        <v>399378</v>
      </c>
      <c r="B124" s="19" t="s">
        <v>611</v>
      </c>
      <c r="C124" s="19">
        <v>2053.974</v>
      </c>
      <c r="D124" s="19">
        <v>2290.53</v>
      </c>
      <c r="E124" s="19">
        <v>1</v>
      </c>
      <c r="F124" s="20">
        <v>0</v>
      </c>
      <c r="G124" s="20">
        <v>0</v>
      </c>
      <c r="H124" s="20">
        <v>1</v>
      </c>
      <c r="I124" s="20">
        <v>1.689</v>
      </c>
      <c r="J124" s="20">
        <v>11.842</v>
      </c>
      <c r="K124" s="23">
        <v>2</v>
      </c>
      <c r="L124" s="23">
        <v>2</v>
      </c>
      <c r="M124" s="23">
        <v>0</v>
      </c>
      <c r="N124" s="23">
        <v>1</v>
      </c>
      <c r="O124" s="23">
        <v>0</v>
      </c>
      <c r="P124" s="23">
        <v>33.354</v>
      </c>
      <c r="Q124" s="23">
        <v>0</v>
      </c>
      <c r="R124" s="23">
        <v>0</v>
      </c>
    </row>
    <row r="125" ht="16.5" spans="1:18">
      <c r="A125" s="19">
        <v>399379</v>
      </c>
      <c r="B125" s="19" t="s">
        <v>612</v>
      </c>
      <c r="C125" s="19">
        <v>6159.353</v>
      </c>
      <c r="D125" s="19">
        <v>6699.445</v>
      </c>
      <c r="E125" s="19">
        <v>1</v>
      </c>
      <c r="F125" s="20">
        <v>0</v>
      </c>
      <c r="G125" s="20">
        <v>0</v>
      </c>
      <c r="H125" s="20">
        <v>1</v>
      </c>
      <c r="I125" s="20">
        <v>3.836</v>
      </c>
      <c r="J125" s="20">
        <v>11.588</v>
      </c>
      <c r="K125" s="23">
        <v>4</v>
      </c>
      <c r="L125" s="23">
        <v>2</v>
      </c>
      <c r="M125" s="23">
        <v>0</v>
      </c>
      <c r="N125" s="23">
        <v>1</v>
      </c>
      <c r="O125" s="23">
        <v>0</v>
      </c>
      <c r="P125" s="23">
        <v>12.802</v>
      </c>
      <c r="Q125" s="23">
        <v>0</v>
      </c>
      <c r="R125" s="23">
        <v>0</v>
      </c>
    </row>
    <row r="126" ht="16.5" spans="1:18">
      <c r="A126" s="19">
        <v>399380</v>
      </c>
      <c r="B126" s="19" t="s">
        <v>613</v>
      </c>
      <c r="C126" s="19">
        <v>1207.015</v>
      </c>
      <c r="D126" s="19">
        <v>1318.079</v>
      </c>
      <c r="E126" s="19">
        <v>1</v>
      </c>
      <c r="F126" s="20">
        <v>0</v>
      </c>
      <c r="G126" s="20">
        <v>0</v>
      </c>
      <c r="H126" s="20">
        <v>1</v>
      </c>
      <c r="I126" s="20">
        <v>3.99</v>
      </c>
      <c r="J126" s="20">
        <v>12.08</v>
      </c>
      <c r="K126" s="23">
        <v>2</v>
      </c>
      <c r="L126" s="23">
        <v>1</v>
      </c>
      <c r="M126" s="23">
        <v>0</v>
      </c>
      <c r="N126" s="23">
        <v>1</v>
      </c>
      <c r="O126" s="23">
        <v>0</v>
      </c>
      <c r="P126" s="23">
        <v>0.636</v>
      </c>
      <c r="Q126" s="23">
        <v>0</v>
      </c>
      <c r="R126" s="23">
        <v>0</v>
      </c>
    </row>
    <row r="127" ht="16.5" spans="1:18">
      <c r="A127" s="19">
        <v>399384</v>
      </c>
      <c r="B127" s="19" t="s">
        <v>614</v>
      </c>
      <c r="C127" s="19">
        <v>3092.761</v>
      </c>
      <c r="D127" s="19">
        <v>3518.418</v>
      </c>
      <c r="E127" s="19">
        <v>1</v>
      </c>
      <c r="F127" s="20">
        <v>0</v>
      </c>
      <c r="G127" s="20">
        <v>0</v>
      </c>
      <c r="H127" s="20">
        <v>1</v>
      </c>
      <c r="I127" s="20">
        <v>2.325</v>
      </c>
      <c r="J127" s="20">
        <v>14.142</v>
      </c>
      <c r="K127" s="23">
        <v>2</v>
      </c>
      <c r="L127" s="23">
        <v>2</v>
      </c>
      <c r="M127" s="23">
        <v>-1</v>
      </c>
      <c r="N127" s="23">
        <v>1</v>
      </c>
      <c r="O127" s="23">
        <v>0</v>
      </c>
      <c r="P127" s="23">
        <v>21.963</v>
      </c>
      <c r="Q127" s="23">
        <v>1</v>
      </c>
      <c r="R127" s="23">
        <v>0</v>
      </c>
    </row>
    <row r="128" ht="16.5" spans="1:18">
      <c r="A128" s="19">
        <v>399392</v>
      </c>
      <c r="B128" s="19" t="s">
        <v>615</v>
      </c>
      <c r="C128" s="19">
        <v>1884.286</v>
      </c>
      <c r="D128" s="19">
        <v>2131.611</v>
      </c>
      <c r="E128" s="19">
        <v>1</v>
      </c>
      <c r="F128" s="20">
        <v>0</v>
      </c>
      <c r="G128" s="20">
        <v>0</v>
      </c>
      <c r="H128" s="20">
        <v>1</v>
      </c>
      <c r="I128" s="20">
        <v>0.79</v>
      </c>
      <c r="J128" s="20">
        <v>12.301</v>
      </c>
      <c r="K128" s="23">
        <v>4</v>
      </c>
      <c r="L128" s="23">
        <v>2</v>
      </c>
      <c r="M128" s="23">
        <v>-1</v>
      </c>
      <c r="N128" s="23">
        <v>1</v>
      </c>
      <c r="O128" s="23">
        <v>0</v>
      </c>
      <c r="P128" s="23">
        <v>43.152</v>
      </c>
      <c r="Q128" s="23">
        <v>1</v>
      </c>
      <c r="R128" s="23">
        <v>0</v>
      </c>
    </row>
    <row r="129" ht="16.5" spans="1:18">
      <c r="A129" s="19">
        <v>399393</v>
      </c>
      <c r="B129" s="19" t="s">
        <v>616</v>
      </c>
      <c r="C129" s="19">
        <v>2418.935</v>
      </c>
      <c r="D129" s="19">
        <v>3043.15</v>
      </c>
      <c r="E129" s="19">
        <v>1</v>
      </c>
      <c r="F129" s="20">
        <v>0</v>
      </c>
      <c r="G129" s="20">
        <v>0</v>
      </c>
      <c r="H129" s="20">
        <v>1</v>
      </c>
      <c r="I129" s="20">
        <v>2.654</v>
      </c>
      <c r="J129" s="20">
        <v>22.621</v>
      </c>
      <c r="K129" s="23">
        <v>4</v>
      </c>
      <c r="L129" s="23">
        <v>2</v>
      </c>
      <c r="M129" s="23">
        <v>-1</v>
      </c>
      <c r="N129" s="23">
        <v>1</v>
      </c>
      <c r="O129" s="23">
        <v>0</v>
      </c>
      <c r="P129" s="23">
        <v>18.237</v>
      </c>
      <c r="Q129" s="23">
        <v>0</v>
      </c>
      <c r="R129" s="23">
        <v>0</v>
      </c>
    </row>
    <row r="130" ht="16.5" spans="1:18">
      <c r="A130" s="19">
        <v>399399</v>
      </c>
      <c r="B130" s="19" t="s">
        <v>617</v>
      </c>
      <c r="C130" s="19">
        <v>5870.328</v>
      </c>
      <c r="D130" s="19">
        <v>6474.787</v>
      </c>
      <c r="E130" s="19">
        <v>1</v>
      </c>
      <c r="F130" s="20">
        <v>0</v>
      </c>
      <c r="G130" s="20">
        <v>0</v>
      </c>
      <c r="H130" s="20">
        <v>1</v>
      </c>
      <c r="I130" s="20">
        <v>2.904</v>
      </c>
      <c r="J130" s="20">
        <v>11.968</v>
      </c>
      <c r="K130" s="23">
        <v>4</v>
      </c>
      <c r="L130" s="23">
        <v>2</v>
      </c>
      <c r="M130" s="23">
        <v>0</v>
      </c>
      <c r="N130" s="23">
        <v>1</v>
      </c>
      <c r="O130" s="23">
        <v>0</v>
      </c>
      <c r="P130" s="23">
        <v>41.492</v>
      </c>
      <c r="Q130" s="23">
        <v>1</v>
      </c>
      <c r="R130" s="23">
        <v>0</v>
      </c>
    </row>
    <row r="131" ht="16.5" spans="1:18">
      <c r="A131" s="19">
        <v>399400</v>
      </c>
      <c r="B131" s="19" t="s">
        <v>618</v>
      </c>
      <c r="C131" s="19">
        <v>2901.421</v>
      </c>
      <c r="D131" s="19">
        <v>3215.461</v>
      </c>
      <c r="E131" s="19">
        <v>1</v>
      </c>
      <c r="F131" s="20">
        <v>0</v>
      </c>
      <c r="G131" s="20">
        <v>0</v>
      </c>
      <c r="H131" s="20">
        <v>1</v>
      </c>
      <c r="I131" s="20">
        <v>1.71</v>
      </c>
      <c r="J131" s="20">
        <v>11.31</v>
      </c>
      <c r="K131" s="23">
        <v>4</v>
      </c>
      <c r="L131" s="23">
        <v>2</v>
      </c>
      <c r="M131" s="23">
        <v>-1</v>
      </c>
      <c r="N131" s="23">
        <v>1</v>
      </c>
      <c r="O131" s="23">
        <v>0</v>
      </c>
      <c r="P131" s="23">
        <v>59.634</v>
      </c>
      <c r="Q131" s="23">
        <v>1</v>
      </c>
      <c r="R131" s="23">
        <v>0</v>
      </c>
    </row>
    <row r="132" ht="16.5" spans="1:18">
      <c r="A132" s="19">
        <v>399402</v>
      </c>
      <c r="B132" s="19" t="s">
        <v>619</v>
      </c>
      <c r="C132" s="19">
        <v>2477.422</v>
      </c>
      <c r="D132" s="19">
        <v>2767.112</v>
      </c>
      <c r="E132" s="19">
        <v>1</v>
      </c>
      <c r="F132" s="20">
        <v>0</v>
      </c>
      <c r="G132" s="20">
        <v>0</v>
      </c>
      <c r="H132" s="20">
        <v>1</v>
      </c>
      <c r="I132" s="20">
        <v>5.418</v>
      </c>
      <c r="J132" s="20">
        <v>15.32</v>
      </c>
      <c r="K132" s="23">
        <v>4</v>
      </c>
      <c r="L132" s="23">
        <v>2</v>
      </c>
      <c r="M132" s="23">
        <v>-1</v>
      </c>
      <c r="N132" s="23">
        <v>1</v>
      </c>
      <c r="O132" s="23">
        <v>0</v>
      </c>
      <c r="P132" s="23">
        <v>51.263</v>
      </c>
      <c r="Q132" s="23">
        <v>0</v>
      </c>
      <c r="R132" s="23">
        <v>0</v>
      </c>
    </row>
    <row r="133" ht="16.5" spans="1:18">
      <c r="A133" s="19">
        <v>399405</v>
      </c>
      <c r="B133" s="19" t="s">
        <v>620</v>
      </c>
      <c r="C133" s="19">
        <v>1668.655</v>
      </c>
      <c r="D133" s="19">
        <v>1982.094</v>
      </c>
      <c r="E133" s="19">
        <v>1</v>
      </c>
      <c r="F133" s="20">
        <v>0</v>
      </c>
      <c r="G133" s="20">
        <v>0</v>
      </c>
      <c r="H133" s="20">
        <v>1</v>
      </c>
      <c r="I133" s="20">
        <v>2.52</v>
      </c>
      <c r="J133" s="20">
        <v>17.935</v>
      </c>
      <c r="K133" s="23">
        <v>4</v>
      </c>
      <c r="L133" s="23">
        <v>2</v>
      </c>
      <c r="M133" s="23">
        <v>-1</v>
      </c>
      <c r="N133" s="23">
        <v>1</v>
      </c>
      <c r="O133" s="23">
        <v>0</v>
      </c>
      <c r="P133" s="23">
        <v>3.248</v>
      </c>
      <c r="Q133" s="23">
        <v>0</v>
      </c>
      <c r="R133" s="23">
        <v>0</v>
      </c>
    </row>
    <row r="134" ht="16.5" spans="1:18">
      <c r="A134" s="19">
        <v>399407</v>
      </c>
      <c r="B134" s="19" t="s">
        <v>621</v>
      </c>
      <c r="C134" s="19">
        <v>1614.391</v>
      </c>
      <c r="D134" s="19">
        <v>1864.922</v>
      </c>
      <c r="E134" s="19">
        <v>1</v>
      </c>
      <c r="F134" s="20">
        <v>0</v>
      </c>
      <c r="G134" s="20">
        <v>0</v>
      </c>
      <c r="H134" s="20">
        <v>1</v>
      </c>
      <c r="I134" s="20">
        <v>0.087</v>
      </c>
      <c r="J134" s="20">
        <v>13.51</v>
      </c>
      <c r="K134" s="23">
        <v>4</v>
      </c>
      <c r="L134" s="23">
        <v>2</v>
      </c>
      <c r="M134" s="23">
        <v>0</v>
      </c>
      <c r="N134" s="23">
        <v>1</v>
      </c>
      <c r="O134" s="23">
        <v>0</v>
      </c>
      <c r="P134" s="23">
        <v>47.485</v>
      </c>
      <c r="Q134" s="23">
        <v>1</v>
      </c>
      <c r="R134" s="23">
        <v>0</v>
      </c>
    </row>
    <row r="135" ht="16.5" spans="1:18">
      <c r="A135" s="19">
        <v>399412</v>
      </c>
      <c r="B135" s="19" t="s">
        <v>622</v>
      </c>
      <c r="C135" s="19">
        <v>1840.881</v>
      </c>
      <c r="D135" s="19">
        <v>2128.093</v>
      </c>
      <c r="E135" s="19">
        <v>1</v>
      </c>
      <c r="F135" s="20">
        <v>0</v>
      </c>
      <c r="G135" s="20">
        <v>0</v>
      </c>
      <c r="H135" s="20">
        <v>1</v>
      </c>
      <c r="I135" s="20">
        <v>1.327</v>
      </c>
      <c r="J135" s="20">
        <v>14.644</v>
      </c>
      <c r="K135" s="23">
        <v>4</v>
      </c>
      <c r="L135" s="23">
        <v>2</v>
      </c>
      <c r="M135" s="23">
        <v>0</v>
      </c>
      <c r="N135" s="23">
        <v>1</v>
      </c>
      <c r="O135" s="23">
        <v>0</v>
      </c>
      <c r="P135" s="23">
        <v>2.32</v>
      </c>
      <c r="Q135" s="23">
        <v>1</v>
      </c>
      <c r="R135" s="23">
        <v>0</v>
      </c>
    </row>
    <row r="136" ht="16.5" spans="1:18">
      <c r="A136" s="19">
        <v>399415</v>
      </c>
      <c r="B136" s="19" t="s">
        <v>623</v>
      </c>
      <c r="C136" s="19">
        <v>5140.716</v>
      </c>
      <c r="D136" s="19">
        <v>5659.838</v>
      </c>
      <c r="E136" s="19">
        <v>1</v>
      </c>
      <c r="F136" s="20">
        <v>0</v>
      </c>
      <c r="G136" s="20">
        <v>0</v>
      </c>
      <c r="H136" s="20">
        <v>1</v>
      </c>
      <c r="I136" s="20">
        <v>0.463</v>
      </c>
      <c r="J136" s="20">
        <v>9.593</v>
      </c>
      <c r="K136" s="23">
        <v>4</v>
      </c>
      <c r="L136" s="23">
        <v>2</v>
      </c>
      <c r="M136" s="23">
        <v>-1</v>
      </c>
      <c r="N136" s="23">
        <v>1</v>
      </c>
      <c r="O136" s="23">
        <v>0</v>
      </c>
      <c r="P136" s="23">
        <v>1.611</v>
      </c>
      <c r="Q136" s="23">
        <v>1</v>
      </c>
      <c r="R136" s="23">
        <v>0</v>
      </c>
    </row>
    <row r="137" ht="16.5" spans="1:18">
      <c r="A137" s="19">
        <v>399417</v>
      </c>
      <c r="B137" s="19" t="s">
        <v>624</v>
      </c>
      <c r="C137" s="19">
        <v>1976.237</v>
      </c>
      <c r="D137" s="19">
        <v>2357.405</v>
      </c>
      <c r="E137" s="19">
        <v>1</v>
      </c>
      <c r="F137" s="20">
        <v>0</v>
      </c>
      <c r="G137" s="20">
        <v>0</v>
      </c>
      <c r="H137" s="20">
        <v>1</v>
      </c>
      <c r="I137" s="20">
        <v>0.613</v>
      </c>
      <c r="J137" s="20">
        <v>16.683</v>
      </c>
      <c r="K137" s="23">
        <v>4</v>
      </c>
      <c r="L137" s="23">
        <v>2</v>
      </c>
      <c r="M137" s="23">
        <v>-1</v>
      </c>
      <c r="N137" s="23">
        <v>1</v>
      </c>
      <c r="O137" s="23">
        <v>0</v>
      </c>
      <c r="P137" s="23">
        <v>16.457</v>
      </c>
      <c r="Q137" s="23">
        <v>1</v>
      </c>
      <c r="R137" s="23">
        <v>0</v>
      </c>
    </row>
    <row r="138" ht="16.5" spans="1:18">
      <c r="A138" s="19">
        <v>399418</v>
      </c>
      <c r="B138" s="19" t="s">
        <v>138</v>
      </c>
      <c r="C138" s="19">
        <v>2447.771</v>
      </c>
      <c r="D138" s="19">
        <v>2911.85</v>
      </c>
      <c r="E138" s="19">
        <v>1</v>
      </c>
      <c r="F138" s="20">
        <v>0</v>
      </c>
      <c r="G138" s="20">
        <v>0</v>
      </c>
      <c r="H138" s="20">
        <v>1</v>
      </c>
      <c r="I138" s="20">
        <v>1.575</v>
      </c>
      <c r="J138" s="20">
        <v>17.262</v>
      </c>
      <c r="K138" s="23">
        <v>4</v>
      </c>
      <c r="L138" s="23">
        <v>2</v>
      </c>
      <c r="M138" s="23">
        <v>-1</v>
      </c>
      <c r="N138" s="23">
        <v>1</v>
      </c>
      <c r="O138" s="23">
        <v>0</v>
      </c>
      <c r="P138" s="23">
        <v>13.294</v>
      </c>
      <c r="Q138" s="23">
        <v>1</v>
      </c>
      <c r="R138" s="23">
        <v>0</v>
      </c>
    </row>
    <row r="139" ht="16.5" spans="1:18">
      <c r="A139" s="19">
        <v>399423</v>
      </c>
      <c r="B139" s="19" t="s">
        <v>625</v>
      </c>
      <c r="C139" s="19">
        <v>1757.124</v>
      </c>
      <c r="D139" s="19">
        <v>1985.518</v>
      </c>
      <c r="E139" s="19">
        <v>1</v>
      </c>
      <c r="F139" s="20">
        <v>0</v>
      </c>
      <c r="G139" s="20">
        <v>0</v>
      </c>
      <c r="H139" s="20">
        <v>1</v>
      </c>
      <c r="I139" s="20">
        <v>0.503</v>
      </c>
      <c r="J139" s="20">
        <v>11.949</v>
      </c>
      <c r="K139" s="23">
        <v>2</v>
      </c>
      <c r="L139" s="23">
        <v>2</v>
      </c>
      <c r="M139" s="23">
        <v>0</v>
      </c>
      <c r="N139" s="23">
        <v>1</v>
      </c>
      <c r="O139" s="23">
        <v>0</v>
      </c>
      <c r="P139" s="23">
        <v>10.19</v>
      </c>
      <c r="Q139" s="23">
        <v>0</v>
      </c>
      <c r="R139" s="23">
        <v>0</v>
      </c>
    </row>
    <row r="140" ht="16.5" spans="1:18">
      <c r="A140" s="19">
        <v>399432</v>
      </c>
      <c r="B140" s="19" t="s">
        <v>626</v>
      </c>
      <c r="C140" s="19">
        <v>3382.063</v>
      </c>
      <c r="D140" s="19">
        <v>4069.796</v>
      </c>
      <c r="E140" s="19">
        <v>1</v>
      </c>
      <c r="F140" s="20">
        <v>0</v>
      </c>
      <c r="G140" s="20">
        <v>0</v>
      </c>
      <c r="H140" s="20">
        <v>1</v>
      </c>
      <c r="I140" s="20">
        <v>0.154</v>
      </c>
      <c r="J140" s="20">
        <v>17.026</v>
      </c>
      <c r="K140" s="23">
        <v>4</v>
      </c>
      <c r="L140" s="23">
        <v>2</v>
      </c>
      <c r="M140" s="23">
        <v>-1</v>
      </c>
      <c r="N140" s="23">
        <v>1</v>
      </c>
      <c r="O140" s="23">
        <v>0</v>
      </c>
      <c r="P140" s="23">
        <v>16.073</v>
      </c>
      <c r="Q140" s="23">
        <v>1</v>
      </c>
      <c r="R140" s="23">
        <v>0</v>
      </c>
    </row>
    <row r="141" ht="16.5" spans="1:18">
      <c r="A141" s="19">
        <v>399550</v>
      </c>
      <c r="B141" s="19" t="s">
        <v>627</v>
      </c>
      <c r="C141" s="19">
        <v>6132.718</v>
      </c>
      <c r="D141" s="19">
        <v>6815.046</v>
      </c>
      <c r="E141" s="19">
        <v>1</v>
      </c>
      <c r="F141" s="20">
        <v>0</v>
      </c>
      <c r="G141" s="20">
        <v>0</v>
      </c>
      <c r="H141" s="20">
        <v>1</v>
      </c>
      <c r="I141" s="20">
        <v>1.824</v>
      </c>
      <c r="J141" s="20">
        <v>11.653</v>
      </c>
      <c r="K141" s="23">
        <v>4</v>
      </c>
      <c r="L141" s="23">
        <v>2</v>
      </c>
      <c r="M141" s="23">
        <v>-1</v>
      </c>
      <c r="N141" s="23">
        <v>1</v>
      </c>
      <c r="O141" s="23">
        <v>0</v>
      </c>
      <c r="P141" s="23">
        <v>7.763</v>
      </c>
      <c r="Q141" s="23">
        <v>0</v>
      </c>
      <c r="R141" s="23">
        <v>0</v>
      </c>
    </row>
    <row r="142" ht="16.5" spans="1:18">
      <c r="A142" s="19">
        <v>399552</v>
      </c>
      <c r="B142" s="19" t="s">
        <v>628</v>
      </c>
      <c r="C142" s="19">
        <v>7183.904</v>
      </c>
      <c r="D142" s="19">
        <v>7951.452</v>
      </c>
      <c r="E142" s="19">
        <v>1</v>
      </c>
      <c r="F142" s="20">
        <v>0</v>
      </c>
      <c r="G142" s="20">
        <v>0</v>
      </c>
      <c r="H142" s="20">
        <v>1</v>
      </c>
      <c r="I142" s="20">
        <v>1.772</v>
      </c>
      <c r="J142" s="20">
        <v>11.254</v>
      </c>
      <c r="K142" s="23">
        <v>4</v>
      </c>
      <c r="L142" s="23">
        <v>2</v>
      </c>
      <c r="M142" s="23">
        <v>0</v>
      </c>
      <c r="N142" s="23">
        <v>1</v>
      </c>
      <c r="O142" s="23">
        <v>0</v>
      </c>
      <c r="P142" s="23">
        <v>10.242</v>
      </c>
      <c r="Q142" s="23">
        <v>1</v>
      </c>
      <c r="R142" s="23">
        <v>0</v>
      </c>
    </row>
    <row r="143" ht="16.5" spans="1:18">
      <c r="A143" s="19">
        <v>399553</v>
      </c>
      <c r="B143" s="19" t="s">
        <v>629</v>
      </c>
      <c r="C143" s="19">
        <v>5801.605</v>
      </c>
      <c r="D143" s="19">
        <v>6690.104</v>
      </c>
      <c r="E143" s="19">
        <v>1</v>
      </c>
      <c r="F143" s="20">
        <v>0</v>
      </c>
      <c r="G143" s="20">
        <v>0</v>
      </c>
      <c r="H143" s="20">
        <v>1</v>
      </c>
      <c r="I143" s="20">
        <v>0.304</v>
      </c>
      <c r="J143" s="20">
        <v>13.544</v>
      </c>
      <c r="K143" s="23">
        <v>4</v>
      </c>
      <c r="L143" s="23">
        <v>2</v>
      </c>
      <c r="M143" s="23">
        <v>-1</v>
      </c>
      <c r="N143" s="23">
        <v>1</v>
      </c>
      <c r="O143" s="23">
        <v>0</v>
      </c>
      <c r="P143" s="23">
        <v>19.285</v>
      </c>
      <c r="Q143" s="23">
        <v>0</v>
      </c>
      <c r="R143" s="23">
        <v>0</v>
      </c>
    </row>
    <row r="144" ht="16.5" spans="1:18">
      <c r="A144" s="19">
        <v>399554</v>
      </c>
      <c r="B144" s="19" t="s">
        <v>630</v>
      </c>
      <c r="C144" s="19">
        <v>6049.175</v>
      </c>
      <c r="D144" s="19">
        <v>6701.464</v>
      </c>
      <c r="E144" s="19">
        <v>1</v>
      </c>
      <c r="F144" s="20">
        <v>0</v>
      </c>
      <c r="G144" s="20">
        <v>0</v>
      </c>
      <c r="H144" s="20">
        <v>1</v>
      </c>
      <c r="I144" s="20">
        <v>1.907</v>
      </c>
      <c r="J144" s="20">
        <v>11.455</v>
      </c>
      <c r="K144" s="23">
        <v>4</v>
      </c>
      <c r="L144" s="23">
        <v>2</v>
      </c>
      <c r="M144" s="23">
        <v>-1</v>
      </c>
      <c r="N144" s="23">
        <v>1</v>
      </c>
      <c r="O144" s="23">
        <v>0</v>
      </c>
      <c r="P144" s="23">
        <v>22.318</v>
      </c>
      <c r="Q144" s="23">
        <v>1</v>
      </c>
      <c r="R144" s="23">
        <v>0</v>
      </c>
    </row>
    <row r="145" ht="16.5" spans="1:18">
      <c r="A145" s="19">
        <v>399555</v>
      </c>
      <c r="B145" s="19" t="s">
        <v>631</v>
      </c>
      <c r="C145" s="19">
        <v>4308.842</v>
      </c>
      <c r="D145" s="19">
        <v>4759.158</v>
      </c>
      <c r="E145" s="19">
        <v>1</v>
      </c>
      <c r="F145" s="20">
        <v>0</v>
      </c>
      <c r="G145" s="20">
        <v>0</v>
      </c>
      <c r="H145" s="20">
        <v>1</v>
      </c>
      <c r="I145" s="20">
        <v>1.515</v>
      </c>
      <c r="J145" s="20">
        <v>10.834</v>
      </c>
      <c r="K145" s="23">
        <v>4</v>
      </c>
      <c r="L145" s="23">
        <v>2</v>
      </c>
      <c r="M145" s="23">
        <v>-1</v>
      </c>
      <c r="N145" s="23">
        <v>1</v>
      </c>
      <c r="O145" s="23">
        <v>0</v>
      </c>
      <c r="P145" s="23">
        <v>10.821</v>
      </c>
      <c r="Q145" s="23">
        <v>0</v>
      </c>
      <c r="R145" s="23">
        <v>0</v>
      </c>
    </row>
    <row r="146" ht="16.5" spans="1:18">
      <c r="A146" s="19">
        <v>399556</v>
      </c>
      <c r="B146" s="19" t="s">
        <v>632</v>
      </c>
      <c r="C146" s="19">
        <v>2045.312</v>
      </c>
      <c r="D146" s="19">
        <v>2287.178</v>
      </c>
      <c r="E146" s="19">
        <v>1</v>
      </c>
      <c r="F146" s="20">
        <v>0</v>
      </c>
      <c r="G146" s="20">
        <v>0</v>
      </c>
      <c r="H146" s="20">
        <v>1</v>
      </c>
      <c r="I146" s="20">
        <v>0.659</v>
      </c>
      <c r="J146" s="20">
        <v>11.165</v>
      </c>
      <c r="K146" s="23">
        <v>4</v>
      </c>
      <c r="L146" s="23">
        <v>2</v>
      </c>
      <c r="M146" s="23">
        <v>-1</v>
      </c>
      <c r="N146" s="23">
        <v>1</v>
      </c>
      <c r="O146" s="23">
        <v>0</v>
      </c>
      <c r="P146" s="23">
        <v>23.41</v>
      </c>
      <c r="Q146" s="23">
        <v>0</v>
      </c>
      <c r="R146" s="23">
        <v>0</v>
      </c>
    </row>
    <row r="147" ht="16.5" spans="1:18">
      <c r="A147" s="19">
        <v>399557</v>
      </c>
      <c r="B147" s="19" t="s">
        <v>633</v>
      </c>
      <c r="C147" s="19">
        <v>1165.526</v>
      </c>
      <c r="D147" s="19">
        <v>1411.883</v>
      </c>
      <c r="E147" s="19">
        <v>1</v>
      </c>
      <c r="F147" s="20">
        <v>0</v>
      </c>
      <c r="G147" s="20">
        <v>0</v>
      </c>
      <c r="H147" s="20">
        <v>1</v>
      </c>
      <c r="I147" s="20">
        <v>0.861</v>
      </c>
      <c r="J147" s="20">
        <v>18.16</v>
      </c>
      <c r="K147" s="23">
        <v>0</v>
      </c>
      <c r="L147" s="23">
        <v>1</v>
      </c>
      <c r="M147" s="23">
        <v>-1</v>
      </c>
      <c r="N147" s="23">
        <v>1</v>
      </c>
      <c r="O147" s="23">
        <v>0</v>
      </c>
      <c r="P147" s="23">
        <v>27.969</v>
      </c>
      <c r="Q147" s="23">
        <v>0</v>
      </c>
      <c r="R147" s="23">
        <v>0</v>
      </c>
    </row>
    <row r="148" ht="16.5" spans="1:18">
      <c r="A148" s="19">
        <v>399602</v>
      </c>
      <c r="B148" s="19" t="s">
        <v>634</v>
      </c>
      <c r="C148" s="19">
        <v>760.1</v>
      </c>
      <c r="D148" s="19">
        <v>869.506</v>
      </c>
      <c r="E148" s="19">
        <v>1</v>
      </c>
      <c r="F148" s="20">
        <v>0</v>
      </c>
      <c r="G148" s="20">
        <v>0</v>
      </c>
      <c r="H148" s="20">
        <v>1</v>
      </c>
      <c r="I148" s="20">
        <v>0.661</v>
      </c>
      <c r="J148" s="20">
        <v>13.16</v>
      </c>
      <c r="K148" s="23">
        <v>3</v>
      </c>
      <c r="L148" s="23">
        <v>2</v>
      </c>
      <c r="M148" s="23">
        <v>0</v>
      </c>
      <c r="N148" s="23">
        <v>1</v>
      </c>
      <c r="O148" s="23">
        <v>0</v>
      </c>
      <c r="P148" s="23">
        <v>8.909</v>
      </c>
      <c r="Q148" s="23">
        <v>0</v>
      </c>
      <c r="R148" s="23">
        <v>1</v>
      </c>
    </row>
    <row r="149" ht="16.5" spans="1:18">
      <c r="A149" s="19">
        <v>399606</v>
      </c>
      <c r="B149" s="19" t="s">
        <v>635</v>
      </c>
      <c r="C149" s="19">
        <v>1706.855</v>
      </c>
      <c r="D149" s="19">
        <v>1998.728</v>
      </c>
      <c r="E149" s="19">
        <v>1</v>
      </c>
      <c r="F149" s="20">
        <v>0</v>
      </c>
      <c r="G149" s="20">
        <v>0</v>
      </c>
      <c r="H149" s="20">
        <v>1</v>
      </c>
      <c r="I149" s="20">
        <v>3.029</v>
      </c>
      <c r="J149" s="20">
        <v>17.19</v>
      </c>
      <c r="K149" s="23">
        <v>1</v>
      </c>
      <c r="L149" s="23">
        <v>2</v>
      </c>
      <c r="M149" s="23">
        <v>0</v>
      </c>
      <c r="N149" s="23">
        <v>1</v>
      </c>
      <c r="O149" s="23">
        <v>0</v>
      </c>
      <c r="P149" s="23">
        <v>9.086</v>
      </c>
      <c r="Q149" s="23">
        <v>0</v>
      </c>
      <c r="R149" s="23">
        <v>1</v>
      </c>
    </row>
    <row r="150" ht="16.5" spans="1:18">
      <c r="A150" s="19">
        <v>399608</v>
      </c>
      <c r="B150" s="19" t="s">
        <v>636</v>
      </c>
      <c r="C150" s="19">
        <v>2196.95</v>
      </c>
      <c r="D150" s="19">
        <v>2517.278</v>
      </c>
      <c r="E150" s="19">
        <v>1</v>
      </c>
      <c r="F150" s="20">
        <v>0</v>
      </c>
      <c r="G150" s="20">
        <v>0</v>
      </c>
      <c r="H150" s="20">
        <v>1</v>
      </c>
      <c r="I150" s="20">
        <v>4.021</v>
      </c>
      <c r="J150" s="20">
        <v>16.234</v>
      </c>
      <c r="K150" s="23">
        <v>2</v>
      </c>
      <c r="L150" s="23">
        <v>2</v>
      </c>
      <c r="M150" s="23">
        <v>0</v>
      </c>
      <c r="N150" s="23">
        <v>1</v>
      </c>
      <c r="O150" s="23">
        <v>0</v>
      </c>
      <c r="P150" s="23">
        <v>11.203</v>
      </c>
      <c r="Q150" s="23">
        <v>0</v>
      </c>
      <c r="R150" s="23">
        <v>1</v>
      </c>
    </row>
    <row r="151" ht="16.5" spans="1:18">
      <c r="A151" s="19">
        <v>399611</v>
      </c>
      <c r="B151" s="19" t="s">
        <v>637</v>
      </c>
      <c r="C151" s="19">
        <v>1780.749</v>
      </c>
      <c r="D151" s="19">
        <v>2022.05</v>
      </c>
      <c r="E151" s="19">
        <v>1</v>
      </c>
      <c r="F151" s="20">
        <v>0</v>
      </c>
      <c r="G151" s="20">
        <v>0</v>
      </c>
      <c r="H151" s="20">
        <v>1</v>
      </c>
      <c r="I151" s="20">
        <v>3.17</v>
      </c>
      <c r="J151" s="20">
        <v>14.725</v>
      </c>
      <c r="K151" s="23">
        <v>1</v>
      </c>
      <c r="L151" s="23">
        <v>2</v>
      </c>
      <c r="M151" s="23">
        <v>0</v>
      </c>
      <c r="N151" s="23">
        <v>1</v>
      </c>
      <c r="O151" s="23">
        <v>0</v>
      </c>
      <c r="P151" s="23">
        <v>6.763</v>
      </c>
      <c r="Q151" s="23">
        <v>0</v>
      </c>
      <c r="R151" s="23">
        <v>1</v>
      </c>
    </row>
    <row r="152" ht="16.5" spans="1:18">
      <c r="A152" s="19">
        <v>399612</v>
      </c>
      <c r="B152" s="19" t="s">
        <v>638</v>
      </c>
      <c r="C152" s="19">
        <v>1538.13</v>
      </c>
      <c r="D152" s="19">
        <v>1757.217</v>
      </c>
      <c r="E152" s="19">
        <v>1</v>
      </c>
      <c r="F152" s="20">
        <v>0</v>
      </c>
      <c r="G152" s="20">
        <v>0</v>
      </c>
      <c r="H152" s="20">
        <v>1</v>
      </c>
      <c r="I152" s="20">
        <v>2.373</v>
      </c>
      <c r="J152" s="20">
        <v>14.545</v>
      </c>
      <c r="K152" s="23">
        <v>2</v>
      </c>
      <c r="L152" s="23">
        <v>2</v>
      </c>
      <c r="M152" s="23">
        <v>0</v>
      </c>
      <c r="N152" s="23">
        <v>1</v>
      </c>
      <c r="O152" s="23">
        <v>0</v>
      </c>
      <c r="P152" s="23">
        <v>7.013</v>
      </c>
      <c r="Q152" s="23">
        <v>0</v>
      </c>
      <c r="R152" s="23">
        <v>0</v>
      </c>
    </row>
    <row r="153" ht="16.5" spans="1:18">
      <c r="A153" s="19">
        <v>399615</v>
      </c>
      <c r="B153" s="19" t="s">
        <v>639</v>
      </c>
      <c r="C153" s="19">
        <v>2299.378</v>
      </c>
      <c r="D153" s="19">
        <v>2719.929</v>
      </c>
      <c r="E153" s="19">
        <v>1</v>
      </c>
      <c r="F153" s="20">
        <v>0</v>
      </c>
      <c r="G153" s="20">
        <v>0</v>
      </c>
      <c r="H153" s="20">
        <v>1</v>
      </c>
      <c r="I153" s="20">
        <v>0.233</v>
      </c>
      <c r="J153" s="20">
        <v>15.659</v>
      </c>
      <c r="K153" s="23">
        <v>2</v>
      </c>
      <c r="L153" s="23">
        <v>2</v>
      </c>
      <c r="M153" s="23">
        <v>0</v>
      </c>
      <c r="N153" s="23">
        <v>1</v>
      </c>
      <c r="O153" s="23">
        <v>0</v>
      </c>
      <c r="P153" s="23">
        <v>6.535</v>
      </c>
      <c r="Q153" s="23">
        <v>0</v>
      </c>
      <c r="R153" s="23">
        <v>0</v>
      </c>
    </row>
    <row r="154" ht="16.5" spans="1:18">
      <c r="A154" s="19">
        <v>399616</v>
      </c>
      <c r="B154" s="19" t="s">
        <v>640</v>
      </c>
      <c r="C154" s="19">
        <v>4744.765</v>
      </c>
      <c r="D154" s="19">
        <v>5385.491</v>
      </c>
      <c r="E154" s="19">
        <v>1</v>
      </c>
      <c r="F154" s="20">
        <v>0</v>
      </c>
      <c r="G154" s="20">
        <v>0</v>
      </c>
      <c r="H154" s="20">
        <v>1</v>
      </c>
      <c r="I154" s="20">
        <v>3.16</v>
      </c>
      <c r="J154" s="20">
        <v>14.681</v>
      </c>
      <c r="K154" s="23">
        <v>1</v>
      </c>
      <c r="L154" s="23">
        <v>2</v>
      </c>
      <c r="M154" s="23">
        <v>0</v>
      </c>
      <c r="N154" s="23">
        <v>1</v>
      </c>
      <c r="O154" s="23">
        <v>0</v>
      </c>
      <c r="P154" s="23">
        <v>8.292</v>
      </c>
      <c r="Q154" s="23">
        <v>0</v>
      </c>
      <c r="R154" s="23">
        <v>1</v>
      </c>
    </row>
    <row r="155" ht="16.5" spans="1:18">
      <c r="A155" s="19">
        <v>399625</v>
      </c>
      <c r="B155" s="19" t="s">
        <v>641</v>
      </c>
      <c r="C155" s="19">
        <v>1360.665</v>
      </c>
      <c r="D155" s="19">
        <v>1568.112</v>
      </c>
      <c r="E155" s="19">
        <v>1</v>
      </c>
      <c r="F155" s="20">
        <v>0</v>
      </c>
      <c r="G155" s="20">
        <v>0</v>
      </c>
      <c r="H155" s="20">
        <v>1</v>
      </c>
      <c r="I155" s="20">
        <v>0.607</v>
      </c>
      <c r="J155" s="20">
        <v>13.756</v>
      </c>
      <c r="K155" s="23">
        <v>2</v>
      </c>
      <c r="L155" s="23">
        <v>2</v>
      </c>
      <c r="M155" s="23">
        <v>0</v>
      </c>
      <c r="N155" s="23">
        <v>1</v>
      </c>
      <c r="O155" s="23">
        <v>0</v>
      </c>
      <c r="P155" s="23">
        <v>9.083</v>
      </c>
      <c r="Q155" s="23">
        <v>0</v>
      </c>
      <c r="R155" s="23">
        <v>0</v>
      </c>
    </row>
    <row r="156" ht="16.5" spans="1:18">
      <c r="A156" s="19">
        <v>399626</v>
      </c>
      <c r="B156" s="19" t="s">
        <v>642</v>
      </c>
      <c r="C156" s="19">
        <v>1030.917</v>
      </c>
      <c r="D156" s="19">
        <v>1205.017</v>
      </c>
      <c r="E156" s="19">
        <v>1</v>
      </c>
      <c r="F156" s="20">
        <v>0</v>
      </c>
      <c r="G156" s="20">
        <v>0</v>
      </c>
      <c r="H156" s="20">
        <v>1</v>
      </c>
      <c r="I156" s="20">
        <v>2.105</v>
      </c>
      <c r="J156" s="20">
        <v>16.249</v>
      </c>
      <c r="K156" s="23">
        <v>2</v>
      </c>
      <c r="L156" s="23">
        <v>2</v>
      </c>
      <c r="M156" s="23">
        <v>0</v>
      </c>
      <c r="N156" s="23">
        <v>1</v>
      </c>
      <c r="O156" s="23">
        <v>0</v>
      </c>
      <c r="P156" s="23">
        <v>9.459</v>
      </c>
      <c r="Q156" s="23">
        <v>0</v>
      </c>
      <c r="R156" s="23">
        <v>1</v>
      </c>
    </row>
    <row r="157" ht="16.5" spans="1:18">
      <c r="A157" s="19">
        <v>399627</v>
      </c>
      <c r="B157" s="19" t="s">
        <v>643</v>
      </c>
      <c r="C157" s="19">
        <v>1703.563</v>
      </c>
      <c r="D157" s="19">
        <v>1922.095</v>
      </c>
      <c r="E157" s="19">
        <v>1</v>
      </c>
      <c r="F157" s="20">
        <v>0</v>
      </c>
      <c r="G157" s="20">
        <v>0</v>
      </c>
      <c r="H157" s="20">
        <v>1</v>
      </c>
      <c r="I157" s="20">
        <v>1.495</v>
      </c>
      <c r="J157" s="20">
        <v>12.694</v>
      </c>
      <c r="K157" s="23">
        <v>2</v>
      </c>
      <c r="L157" s="23">
        <v>2</v>
      </c>
      <c r="M157" s="23">
        <v>0</v>
      </c>
      <c r="N157" s="23">
        <v>1</v>
      </c>
      <c r="O157" s="23">
        <v>0</v>
      </c>
      <c r="P157" s="23">
        <v>7.427</v>
      </c>
      <c r="Q157" s="23">
        <v>0</v>
      </c>
      <c r="R157" s="23">
        <v>0</v>
      </c>
    </row>
    <row r="158" ht="16.5" spans="1:18">
      <c r="A158" s="19">
        <v>399630</v>
      </c>
      <c r="B158" s="19" t="s">
        <v>644</v>
      </c>
      <c r="C158" s="19">
        <v>973.681</v>
      </c>
      <c r="D158" s="19">
        <v>1142.816</v>
      </c>
      <c r="E158" s="19">
        <v>1</v>
      </c>
      <c r="F158" s="20">
        <v>0</v>
      </c>
      <c r="G158" s="20">
        <v>0</v>
      </c>
      <c r="H158" s="20">
        <v>1</v>
      </c>
      <c r="I158" s="20">
        <v>0.292</v>
      </c>
      <c r="J158" s="20">
        <v>15.049</v>
      </c>
      <c r="K158" s="23">
        <v>1</v>
      </c>
      <c r="L158" s="23">
        <v>2</v>
      </c>
      <c r="M158" s="23">
        <v>0</v>
      </c>
      <c r="N158" s="23">
        <v>1</v>
      </c>
      <c r="O158" s="23">
        <v>0</v>
      </c>
      <c r="P158" s="23">
        <v>6.681</v>
      </c>
      <c r="Q158" s="23">
        <v>0</v>
      </c>
      <c r="R158" s="23">
        <v>1</v>
      </c>
    </row>
    <row r="159" ht="16.5" spans="1:18">
      <c r="A159" s="19">
        <v>399634</v>
      </c>
      <c r="B159" s="19" t="s">
        <v>645</v>
      </c>
      <c r="C159" s="19">
        <v>2613.002</v>
      </c>
      <c r="D159" s="19">
        <v>2981.261</v>
      </c>
      <c r="E159" s="19">
        <v>1</v>
      </c>
      <c r="F159" s="20">
        <v>0</v>
      </c>
      <c r="G159" s="20">
        <v>0</v>
      </c>
      <c r="H159" s="20">
        <v>1</v>
      </c>
      <c r="I159" s="20">
        <v>0.271</v>
      </c>
      <c r="J159" s="20">
        <v>12.59</v>
      </c>
      <c r="K159" s="23">
        <v>2</v>
      </c>
      <c r="L159" s="23">
        <v>2</v>
      </c>
      <c r="M159" s="23">
        <v>0</v>
      </c>
      <c r="N159" s="23">
        <v>1</v>
      </c>
      <c r="O159" s="23">
        <v>0</v>
      </c>
      <c r="P159" s="23">
        <v>7.739</v>
      </c>
      <c r="Q159" s="23">
        <v>0</v>
      </c>
      <c r="R159" s="23">
        <v>0</v>
      </c>
    </row>
    <row r="160" ht="16.5" spans="1:18">
      <c r="A160" s="19">
        <v>399636</v>
      </c>
      <c r="B160" s="19" t="s">
        <v>646</v>
      </c>
      <c r="C160" s="19">
        <v>3668.809</v>
      </c>
      <c r="D160" s="19">
        <v>4173.273</v>
      </c>
      <c r="E160" s="19">
        <v>1</v>
      </c>
      <c r="F160" s="20">
        <v>0</v>
      </c>
      <c r="G160" s="20">
        <v>0</v>
      </c>
      <c r="H160" s="20">
        <v>1</v>
      </c>
      <c r="I160" s="20">
        <v>2.854</v>
      </c>
      <c r="J160" s="20">
        <v>14.597</v>
      </c>
      <c r="K160" s="23">
        <v>2</v>
      </c>
      <c r="L160" s="23">
        <v>2</v>
      </c>
      <c r="M160" s="23">
        <v>0</v>
      </c>
      <c r="N160" s="23">
        <v>1</v>
      </c>
      <c r="O160" s="23">
        <v>0</v>
      </c>
      <c r="P160" s="23">
        <v>8.283</v>
      </c>
      <c r="Q160" s="23">
        <v>0</v>
      </c>
      <c r="R160" s="23">
        <v>1</v>
      </c>
    </row>
    <row r="161" ht="16.5" spans="1:18">
      <c r="A161" s="19">
        <v>399637</v>
      </c>
      <c r="B161" s="19" t="s">
        <v>647</v>
      </c>
      <c r="C161" s="19">
        <v>1336.912</v>
      </c>
      <c r="D161" s="19">
        <v>1680.639</v>
      </c>
      <c r="E161" s="19">
        <v>1</v>
      </c>
      <c r="F161" s="20">
        <v>0</v>
      </c>
      <c r="G161" s="20">
        <v>0</v>
      </c>
      <c r="H161" s="20">
        <v>1</v>
      </c>
      <c r="I161" s="20">
        <v>4.646</v>
      </c>
      <c r="J161" s="20">
        <v>24.148</v>
      </c>
      <c r="K161" s="23">
        <v>1</v>
      </c>
      <c r="L161" s="23">
        <v>2</v>
      </c>
      <c r="M161" s="23">
        <v>0</v>
      </c>
      <c r="N161" s="23">
        <v>1</v>
      </c>
      <c r="O161" s="23">
        <v>0</v>
      </c>
      <c r="P161" s="23">
        <v>6.825</v>
      </c>
      <c r="Q161" s="23">
        <v>0</v>
      </c>
      <c r="R161" s="23">
        <v>0</v>
      </c>
    </row>
    <row r="162" ht="16.5" spans="1:18">
      <c r="A162" s="19">
        <v>399638</v>
      </c>
      <c r="B162" s="19" t="s">
        <v>648</v>
      </c>
      <c r="C162" s="19">
        <v>3984.25</v>
      </c>
      <c r="D162" s="19">
        <v>4655.363</v>
      </c>
      <c r="E162" s="19">
        <v>1</v>
      </c>
      <c r="F162" s="20">
        <v>0</v>
      </c>
      <c r="G162" s="20">
        <v>0</v>
      </c>
      <c r="H162" s="20">
        <v>1</v>
      </c>
      <c r="I162" s="20">
        <v>3.835</v>
      </c>
      <c r="J162" s="20">
        <v>17.698</v>
      </c>
      <c r="K162" s="23">
        <v>4</v>
      </c>
      <c r="L162" s="23">
        <v>2</v>
      </c>
      <c r="M162" s="23">
        <v>-1</v>
      </c>
      <c r="N162" s="23">
        <v>1</v>
      </c>
      <c r="O162" s="23">
        <v>0</v>
      </c>
      <c r="P162" s="23">
        <v>38.428</v>
      </c>
      <c r="Q162" s="23">
        <v>1</v>
      </c>
      <c r="R162" s="23">
        <v>0</v>
      </c>
    </row>
    <row r="163" ht="16.5" spans="1:18">
      <c r="A163" s="19">
        <v>399640</v>
      </c>
      <c r="B163" s="19" t="s">
        <v>649</v>
      </c>
      <c r="C163" s="19">
        <v>1468.952</v>
      </c>
      <c r="D163" s="19">
        <v>1715.147</v>
      </c>
      <c r="E163" s="19">
        <v>1</v>
      </c>
      <c r="F163" s="20">
        <v>0</v>
      </c>
      <c r="G163" s="20">
        <v>0</v>
      </c>
      <c r="H163" s="20">
        <v>1</v>
      </c>
      <c r="I163" s="20">
        <v>2.103</v>
      </c>
      <c r="J163" s="20">
        <v>16.155</v>
      </c>
      <c r="K163" s="23">
        <v>4</v>
      </c>
      <c r="L163" s="23">
        <v>2</v>
      </c>
      <c r="M163" s="23">
        <v>-1</v>
      </c>
      <c r="N163" s="23">
        <v>1</v>
      </c>
      <c r="O163" s="23">
        <v>0</v>
      </c>
      <c r="P163" s="23">
        <v>30.347</v>
      </c>
      <c r="Q163" s="23">
        <v>1</v>
      </c>
      <c r="R163" s="23">
        <v>0</v>
      </c>
    </row>
    <row r="164" ht="16.5" spans="1:18">
      <c r="A164" s="19">
        <v>399641</v>
      </c>
      <c r="B164" s="19" t="s">
        <v>650</v>
      </c>
      <c r="C164" s="19">
        <v>1617.178</v>
      </c>
      <c r="D164" s="19">
        <v>1839.094</v>
      </c>
      <c r="E164" s="19">
        <v>1</v>
      </c>
      <c r="F164" s="20">
        <v>0</v>
      </c>
      <c r="G164" s="20">
        <v>0</v>
      </c>
      <c r="H164" s="20">
        <v>1</v>
      </c>
      <c r="I164" s="20">
        <v>2.024</v>
      </c>
      <c r="J164" s="20">
        <v>13.846</v>
      </c>
      <c r="K164" s="23">
        <v>4</v>
      </c>
      <c r="L164" s="23">
        <v>2</v>
      </c>
      <c r="M164" s="23">
        <v>-1</v>
      </c>
      <c r="N164" s="23">
        <v>1</v>
      </c>
      <c r="O164" s="23">
        <v>0</v>
      </c>
      <c r="P164" s="23">
        <v>62.807</v>
      </c>
      <c r="Q164" s="23">
        <v>1</v>
      </c>
      <c r="R164" s="23">
        <v>0</v>
      </c>
    </row>
    <row r="165" ht="16.5" spans="1:18">
      <c r="A165" s="19">
        <v>399642</v>
      </c>
      <c r="B165" s="19" t="s">
        <v>651</v>
      </c>
      <c r="C165" s="19">
        <v>1365.356</v>
      </c>
      <c r="D165" s="19">
        <v>1538.747</v>
      </c>
      <c r="E165" s="19">
        <v>1</v>
      </c>
      <c r="F165" s="20">
        <v>0</v>
      </c>
      <c r="G165" s="20">
        <v>0</v>
      </c>
      <c r="H165" s="20">
        <v>1</v>
      </c>
      <c r="I165" s="20">
        <v>0.162</v>
      </c>
      <c r="J165" s="20">
        <v>11.412</v>
      </c>
      <c r="K165" s="23">
        <v>4</v>
      </c>
      <c r="L165" s="23">
        <v>2</v>
      </c>
      <c r="M165" s="23">
        <v>-1</v>
      </c>
      <c r="N165" s="23">
        <v>1</v>
      </c>
      <c r="O165" s="23">
        <v>0</v>
      </c>
      <c r="P165" s="23">
        <v>237.796</v>
      </c>
      <c r="Q165" s="23">
        <v>1</v>
      </c>
      <c r="R165" s="23">
        <v>0</v>
      </c>
    </row>
    <row r="166" ht="16.5" spans="1:18">
      <c r="A166" s="19">
        <v>399643</v>
      </c>
      <c r="B166" s="19" t="s">
        <v>652</v>
      </c>
      <c r="C166" s="19">
        <v>1856.101</v>
      </c>
      <c r="D166" s="19">
        <v>2179.191</v>
      </c>
      <c r="E166" s="19">
        <v>1</v>
      </c>
      <c r="F166" s="20">
        <v>0</v>
      </c>
      <c r="G166" s="20">
        <v>0</v>
      </c>
      <c r="H166" s="20">
        <v>1</v>
      </c>
      <c r="I166" s="20">
        <v>3.555</v>
      </c>
      <c r="J166" s="20">
        <v>17.854</v>
      </c>
      <c r="K166" s="23">
        <v>2</v>
      </c>
      <c r="L166" s="23">
        <v>2</v>
      </c>
      <c r="M166" s="23">
        <v>0</v>
      </c>
      <c r="N166" s="23">
        <v>1</v>
      </c>
      <c r="O166" s="23">
        <v>0</v>
      </c>
      <c r="P166" s="23">
        <v>81.477</v>
      </c>
      <c r="Q166" s="23">
        <v>0</v>
      </c>
      <c r="R166" s="23">
        <v>0</v>
      </c>
    </row>
    <row r="167" ht="16.5" spans="1:18">
      <c r="A167" s="19">
        <v>399645</v>
      </c>
      <c r="B167" s="19" t="s">
        <v>653</v>
      </c>
      <c r="C167" s="19">
        <v>7655.113</v>
      </c>
      <c r="D167" s="19">
        <v>8633.466</v>
      </c>
      <c r="E167" s="19">
        <v>1</v>
      </c>
      <c r="F167" s="20">
        <v>0</v>
      </c>
      <c r="G167" s="20">
        <v>0</v>
      </c>
      <c r="H167" s="20">
        <v>1</v>
      </c>
      <c r="I167" s="20">
        <v>0.104</v>
      </c>
      <c r="J167" s="20">
        <v>11.424</v>
      </c>
      <c r="K167" s="23">
        <v>4</v>
      </c>
      <c r="L167" s="23">
        <v>2</v>
      </c>
      <c r="M167" s="23">
        <v>-1</v>
      </c>
      <c r="N167" s="23">
        <v>1</v>
      </c>
      <c r="O167" s="23">
        <v>0</v>
      </c>
      <c r="P167" s="23">
        <v>35.895</v>
      </c>
      <c r="Q167" s="23">
        <v>1</v>
      </c>
      <c r="R167" s="23">
        <v>0</v>
      </c>
    </row>
    <row r="168" ht="16.5" spans="1:18">
      <c r="A168" s="19">
        <v>399648</v>
      </c>
      <c r="B168" s="19" t="s">
        <v>654</v>
      </c>
      <c r="C168" s="19">
        <v>8505.199</v>
      </c>
      <c r="D168" s="19">
        <v>9544.973</v>
      </c>
      <c r="E168" s="19">
        <v>1</v>
      </c>
      <c r="F168" s="20">
        <v>0</v>
      </c>
      <c r="G168" s="20">
        <v>0</v>
      </c>
      <c r="H168" s="20">
        <v>1</v>
      </c>
      <c r="I168" s="20">
        <v>0.532</v>
      </c>
      <c r="J168" s="20">
        <v>11.367</v>
      </c>
      <c r="K168" s="23">
        <v>4</v>
      </c>
      <c r="L168" s="23">
        <v>2</v>
      </c>
      <c r="M168" s="23">
        <v>0</v>
      </c>
      <c r="N168" s="23">
        <v>1</v>
      </c>
      <c r="O168" s="23">
        <v>0</v>
      </c>
      <c r="P168" s="23">
        <v>47.992</v>
      </c>
      <c r="Q168" s="23">
        <v>0</v>
      </c>
      <c r="R168" s="23">
        <v>0</v>
      </c>
    </row>
    <row r="169" ht="16.5" spans="1:18">
      <c r="A169" s="19">
        <v>399651</v>
      </c>
      <c r="B169" s="19" t="s">
        <v>655</v>
      </c>
      <c r="C169" s="19">
        <v>1259.999</v>
      </c>
      <c r="D169" s="19">
        <v>1422.363</v>
      </c>
      <c r="E169" s="19">
        <v>1</v>
      </c>
      <c r="F169" s="20">
        <v>0</v>
      </c>
      <c r="G169" s="20">
        <v>0</v>
      </c>
      <c r="H169" s="20">
        <v>1</v>
      </c>
      <c r="I169" s="20">
        <v>0.281</v>
      </c>
      <c r="J169" s="20">
        <v>11.664</v>
      </c>
      <c r="K169" s="23">
        <v>3</v>
      </c>
      <c r="L169" s="23">
        <v>2</v>
      </c>
      <c r="M169" s="23">
        <v>-1</v>
      </c>
      <c r="N169" s="23">
        <v>1</v>
      </c>
      <c r="O169" s="23">
        <v>0</v>
      </c>
      <c r="P169" s="23">
        <v>24.623</v>
      </c>
      <c r="Q169" s="23">
        <v>1</v>
      </c>
      <c r="R169" s="23">
        <v>0</v>
      </c>
    </row>
    <row r="170" ht="16.5" spans="1:18">
      <c r="A170" s="19">
        <v>399652</v>
      </c>
      <c r="B170" s="19" t="s">
        <v>656</v>
      </c>
      <c r="C170" s="19">
        <v>1980.765</v>
      </c>
      <c r="D170" s="19">
        <v>2360.291</v>
      </c>
      <c r="E170" s="19">
        <v>1</v>
      </c>
      <c r="F170" s="20">
        <v>0</v>
      </c>
      <c r="G170" s="20">
        <v>0</v>
      </c>
      <c r="H170" s="20">
        <v>1</v>
      </c>
      <c r="I170" s="20">
        <v>1.18</v>
      </c>
      <c r="J170" s="20">
        <v>17.07</v>
      </c>
      <c r="K170" s="23">
        <v>4</v>
      </c>
      <c r="L170" s="23">
        <v>2</v>
      </c>
      <c r="M170" s="23">
        <v>0</v>
      </c>
      <c r="N170" s="23">
        <v>1</v>
      </c>
      <c r="O170" s="23">
        <v>0</v>
      </c>
      <c r="P170" s="23">
        <v>70.679</v>
      </c>
      <c r="Q170" s="23">
        <v>0</v>
      </c>
      <c r="R170" s="23">
        <v>0</v>
      </c>
    </row>
    <row r="171" ht="16.5" spans="1:18">
      <c r="A171" s="19">
        <v>399653</v>
      </c>
      <c r="B171" s="19" t="s">
        <v>657</v>
      </c>
      <c r="C171" s="19">
        <v>2033.262</v>
      </c>
      <c r="D171" s="19">
        <v>2301.892</v>
      </c>
      <c r="E171" s="19">
        <v>1</v>
      </c>
      <c r="F171" s="20">
        <v>0</v>
      </c>
      <c r="G171" s="20">
        <v>0</v>
      </c>
      <c r="H171" s="20">
        <v>1</v>
      </c>
      <c r="I171" s="20">
        <v>3.228</v>
      </c>
      <c r="J171" s="20">
        <v>14.521</v>
      </c>
      <c r="K171" s="23">
        <v>4</v>
      </c>
      <c r="L171" s="23">
        <v>2</v>
      </c>
      <c r="M171" s="23">
        <v>-1</v>
      </c>
      <c r="N171" s="23">
        <v>1</v>
      </c>
      <c r="O171" s="23">
        <v>0</v>
      </c>
      <c r="P171" s="23">
        <v>242.71</v>
      </c>
      <c r="Q171" s="23">
        <v>1</v>
      </c>
      <c r="R171" s="23">
        <v>0</v>
      </c>
    </row>
    <row r="172" ht="16.5" spans="1:18">
      <c r="A172" s="19">
        <v>399661</v>
      </c>
      <c r="B172" s="19" t="s">
        <v>658</v>
      </c>
      <c r="C172" s="19">
        <v>4466.121</v>
      </c>
      <c r="D172" s="19">
        <v>5076.657</v>
      </c>
      <c r="E172" s="19">
        <v>1</v>
      </c>
      <c r="F172" s="20">
        <v>0</v>
      </c>
      <c r="G172" s="20">
        <v>0</v>
      </c>
      <c r="H172" s="20">
        <v>1</v>
      </c>
      <c r="I172" s="20">
        <v>0.012</v>
      </c>
      <c r="J172" s="20">
        <v>12.037</v>
      </c>
      <c r="K172" s="23">
        <v>4</v>
      </c>
      <c r="L172" s="23">
        <v>1</v>
      </c>
      <c r="M172" s="23">
        <v>-1</v>
      </c>
      <c r="N172" s="23">
        <v>1</v>
      </c>
      <c r="O172" s="23">
        <v>0</v>
      </c>
      <c r="P172" s="23">
        <v>24.355</v>
      </c>
      <c r="Q172" s="23">
        <v>0</v>
      </c>
      <c r="R172" s="23">
        <v>0</v>
      </c>
    </row>
    <row r="173" ht="16.5" spans="1:18">
      <c r="A173" s="19">
        <v>399667</v>
      </c>
      <c r="B173" s="19" t="s">
        <v>659</v>
      </c>
      <c r="C173" s="19">
        <v>2349.748</v>
      </c>
      <c r="D173" s="19">
        <v>2768.038</v>
      </c>
      <c r="E173" s="19">
        <v>1</v>
      </c>
      <c r="F173" s="20">
        <v>0</v>
      </c>
      <c r="G173" s="20">
        <v>0</v>
      </c>
      <c r="H173" s="20">
        <v>1</v>
      </c>
      <c r="I173" s="20">
        <v>1.899</v>
      </c>
      <c r="J173" s="20">
        <v>16.724</v>
      </c>
      <c r="K173" s="23">
        <v>4</v>
      </c>
      <c r="L173" s="23">
        <v>2</v>
      </c>
      <c r="M173" s="23">
        <v>-1</v>
      </c>
      <c r="N173" s="23">
        <v>1</v>
      </c>
      <c r="O173" s="23">
        <v>0</v>
      </c>
      <c r="P173" s="23">
        <v>19.574</v>
      </c>
      <c r="Q173" s="23">
        <v>1</v>
      </c>
      <c r="R173" s="23">
        <v>0</v>
      </c>
    </row>
    <row r="174" ht="16.5" spans="1:18">
      <c r="A174" s="19">
        <v>399668</v>
      </c>
      <c r="B174" s="19" t="s">
        <v>660</v>
      </c>
      <c r="C174" s="19">
        <v>2885.862</v>
      </c>
      <c r="D174" s="19">
        <v>3298.939</v>
      </c>
      <c r="E174" s="19">
        <v>1</v>
      </c>
      <c r="F174" s="20">
        <v>0</v>
      </c>
      <c r="G174" s="20">
        <v>0</v>
      </c>
      <c r="H174" s="20">
        <v>1</v>
      </c>
      <c r="I174" s="20">
        <v>4.384</v>
      </c>
      <c r="J174" s="20">
        <v>16.357</v>
      </c>
      <c r="K174" s="23">
        <v>4</v>
      </c>
      <c r="L174" s="23">
        <v>2</v>
      </c>
      <c r="M174" s="23">
        <v>-1</v>
      </c>
      <c r="N174" s="23">
        <v>1</v>
      </c>
      <c r="O174" s="23">
        <v>0</v>
      </c>
      <c r="P174" s="23">
        <v>18.864</v>
      </c>
      <c r="Q174" s="23">
        <v>1</v>
      </c>
      <c r="R174" s="23">
        <v>0</v>
      </c>
    </row>
    <row r="175" ht="16.5" spans="1:18">
      <c r="A175" s="19">
        <v>399670</v>
      </c>
      <c r="B175" s="19" t="s">
        <v>661</v>
      </c>
      <c r="C175" s="19">
        <v>2522.149</v>
      </c>
      <c r="D175" s="19">
        <v>2857.305</v>
      </c>
      <c r="E175" s="19">
        <v>1</v>
      </c>
      <c r="F175" s="20">
        <v>0</v>
      </c>
      <c r="G175" s="20">
        <v>0</v>
      </c>
      <c r="H175" s="20">
        <v>1</v>
      </c>
      <c r="I175" s="20">
        <v>5.332</v>
      </c>
      <c r="J175" s="20">
        <v>16.436</v>
      </c>
      <c r="K175" s="23">
        <v>4</v>
      </c>
      <c r="L175" s="23">
        <v>2</v>
      </c>
      <c r="M175" s="23">
        <v>-1</v>
      </c>
      <c r="N175" s="23">
        <v>1</v>
      </c>
      <c r="O175" s="23">
        <v>0</v>
      </c>
      <c r="P175" s="23">
        <v>26.274</v>
      </c>
      <c r="Q175" s="23">
        <v>0</v>
      </c>
      <c r="R175" s="23">
        <v>0</v>
      </c>
    </row>
    <row r="176" ht="16.5" spans="1:18">
      <c r="A176" s="19">
        <v>399673</v>
      </c>
      <c r="B176" s="19" t="s">
        <v>662</v>
      </c>
      <c r="C176" s="19">
        <v>1509.226</v>
      </c>
      <c r="D176" s="19">
        <v>1770.924</v>
      </c>
      <c r="E176" s="19">
        <v>1</v>
      </c>
      <c r="F176" s="20">
        <v>0</v>
      </c>
      <c r="G176" s="20">
        <v>0</v>
      </c>
      <c r="H176" s="20">
        <v>1</v>
      </c>
      <c r="I176" s="20">
        <v>5.141</v>
      </c>
      <c r="J176" s="20">
        <v>19.159</v>
      </c>
      <c r="K176" s="23">
        <v>4</v>
      </c>
      <c r="L176" s="23">
        <v>2</v>
      </c>
      <c r="M176" s="23">
        <v>-1</v>
      </c>
      <c r="N176" s="23">
        <v>1</v>
      </c>
      <c r="O176" s="23">
        <v>0</v>
      </c>
      <c r="P176" s="23">
        <v>8.854</v>
      </c>
      <c r="Q176" s="23">
        <v>1</v>
      </c>
      <c r="R176" s="23">
        <v>0</v>
      </c>
    </row>
    <row r="177" ht="16.5" spans="1:18">
      <c r="A177" s="19">
        <v>399675</v>
      </c>
      <c r="B177" s="19" t="s">
        <v>663</v>
      </c>
      <c r="C177" s="19">
        <v>1811.56</v>
      </c>
      <c r="D177" s="19">
        <v>2191.342</v>
      </c>
      <c r="E177" s="19">
        <v>1</v>
      </c>
      <c r="F177" s="20">
        <v>0</v>
      </c>
      <c r="G177" s="20">
        <v>0</v>
      </c>
      <c r="H177" s="20">
        <v>1</v>
      </c>
      <c r="I177" s="20">
        <v>3.508</v>
      </c>
      <c r="J177" s="20">
        <v>20.231</v>
      </c>
      <c r="K177" s="23">
        <v>4</v>
      </c>
      <c r="L177" s="23">
        <v>2</v>
      </c>
      <c r="M177" s="23">
        <v>-1</v>
      </c>
      <c r="N177" s="23">
        <v>1</v>
      </c>
      <c r="O177" s="23">
        <v>0</v>
      </c>
      <c r="P177" s="23">
        <v>9.986</v>
      </c>
      <c r="Q177" s="23">
        <v>1</v>
      </c>
      <c r="R177" s="23">
        <v>0</v>
      </c>
    </row>
    <row r="178" ht="16.5" spans="1:18">
      <c r="A178" s="19">
        <v>399677</v>
      </c>
      <c r="B178" s="19" t="s">
        <v>664</v>
      </c>
      <c r="C178" s="19">
        <v>2814.878</v>
      </c>
      <c r="D178" s="19">
        <v>3334.642</v>
      </c>
      <c r="E178" s="19">
        <v>1</v>
      </c>
      <c r="F178" s="20">
        <v>0</v>
      </c>
      <c r="G178" s="20">
        <v>0</v>
      </c>
      <c r="H178" s="20">
        <v>1</v>
      </c>
      <c r="I178" s="20">
        <v>6.561</v>
      </c>
      <c r="J178" s="20">
        <v>21.125</v>
      </c>
      <c r="K178" s="23">
        <v>4</v>
      </c>
      <c r="L178" s="23">
        <v>2</v>
      </c>
      <c r="M178" s="23">
        <v>0</v>
      </c>
      <c r="N178" s="23">
        <v>1</v>
      </c>
      <c r="O178" s="23">
        <v>0</v>
      </c>
      <c r="P178" s="23">
        <v>11.863</v>
      </c>
      <c r="Q178" s="23">
        <v>1</v>
      </c>
      <c r="R178" s="23">
        <v>0</v>
      </c>
    </row>
    <row r="179" ht="16.5" spans="1:18">
      <c r="A179" s="19">
        <v>399682</v>
      </c>
      <c r="B179" s="19" t="s">
        <v>665</v>
      </c>
      <c r="C179" s="19">
        <v>1043.866</v>
      </c>
      <c r="D179" s="19">
        <v>1229.707</v>
      </c>
      <c r="E179" s="19">
        <v>1</v>
      </c>
      <c r="F179" s="20">
        <v>0</v>
      </c>
      <c r="G179" s="20">
        <v>0</v>
      </c>
      <c r="H179" s="20">
        <v>1</v>
      </c>
      <c r="I179" s="20">
        <v>1.685</v>
      </c>
      <c r="J179" s="20">
        <v>16.543</v>
      </c>
      <c r="K179" s="23">
        <v>4</v>
      </c>
      <c r="L179" s="23">
        <v>2</v>
      </c>
      <c r="M179" s="23">
        <v>-1</v>
      </c>
      <c r="N179" s="23">
        <v>1</v>
      </c>
      <c r="O179" s="23">
        <v>0</v>
      </c>
      <c r="P179" s="23">
        <v>25.46</v>
      </c>
      <c r="Q179" s="23">
        <v>0</v>
      </c>
      <c r="R179" s="23">
        <v>0</v>
      </c>
    </row>
    <row r="180" ht="16.5" spans="1:18">
      <c r="A180" s="19">
        <v>399687</v>
      </c>
      <c r="B180" s="19" t="s">
        <v>666</v>
      </c>
      <c r="C180" s="19">
        <v>2060.325</v>
      </c>
      <c r="D180" s="19">
        <v>2345.843</v>
      </c>
      <c r="E180" s="19">
        <v>1</v>
      </c>
      <c r="F180" s="20">
        <v>0</v>
      </c>
      <c r="G180" s="20">
        <v>0</v>
      </c>
      <c r="H180" s="20">
        <v>1</v>
      </c>
      <c r="I180" s="20">
        <v>0.085</v>
      </c>
      <c r="J180" s="20">
        <v>12.246</v>
      </c>
      <c r="K180" s="23">
        <v>2</v>
      </c>
      <c r="L180" s="23">
        <v>2</v>
      </c>
      <c r="M180" s="23">
        <v>0</v>
      </c>
      <c r="N180" s="23">
        <v>1</v>
      </c>
      <c r="O180" s="23">
        <v>0</v>
      </c>
      <c r="P180" s="23">
        <v>1.046</v>
      </c>
      <c r="Q180" s="23">
        <v>0</v>
      </c>
      <c r="R180" s="23">
        <v>0</v>
      </c>
    </row>
    <row r="181" ht="16.5" spans="1:18">
      <c r="A181" s="19">
        <v>399693</v>
      </c>
      <c r="B181" s="19" t="s">
        <v>667</v>
      </c>
      <c r="C181" s="19">
        <v>2739.964</v>
      </c>
      <c r="D181" s="19">
        <v>3304.669</v>
      </c>
      <c r="E181" s="19">
        <v>1</v>
      </c>
      <c r="F181" s="20">
        <v>0</v>
      </c>
      <c r="G181" s="20">
        <v>0</v>
      </c>
      <c r="H181" s="20">
        <v>1</v>
      </c>
      <c r="I181" s="20">
        <v>1.007</v>
      </c>
      <c r="J181" s="20">
        <v>17.923</v>
      </c>
      <c r="K181" s="23">
        <v>3</v>
      </c>
      <c r="L181" s="23">
        <v>2</v>
      </c>
      <c r="M181" s="23">
        <v>0</v>
      </c>
      <c r="N181" s="23">
        <v>1</v>
      </c>
      <c r="O181" s="23">
        <v>0</v>
      </c>
      <c r="P181" s="23">
        <v>72.601</v>
      </c>
      <c r="Q181" s="23">
        <v>0</v>
      </c>
      <c r="R181" s="23">
        <v>0</v>
      </c>
    </row>
    <row r="182" ht="16.5" spans="1:18">
      <c r="A182" s="19">
        <v>399694</v>
      </c>
      <c r="B182" s="19" t="s">
        <v>668</v>
      </c>
      <c r="C182" s="19">
        <v>1868.724</v>
      </c>
      <c r="D182" s="19">
        <v>2192.104</v>
      </c>
      <c r="E182" s="19">
        <v>1</v>
      </c>
      <c r="F182" s="20">
        <v>0</v>
      </c>
      <c r="G182" s="20">
        <v>0</v>
      </c>
      <c r="H182" s="20">
        <v>1</v>
      </c>
      <c r="I182" s="20">
        <v>4.347</v>
      </c>
      <c r="J182" s="20">
        <v>18.458</v>
      </c>
      <c r="K182" s="23">
        <v>4</v>
      </c>
      <c r="L182" s="23">
        <v>2</v>
      </c>
      <c r="M182" s="23">
        <v>-1</v>
      </c>
      <c r="N182" s="23">
        <v>1</v>
      </c>
      <c r="O182" s="23">
        <v>0</v>
      </c>
      <c r="P182" s="23">
        <v>9.93</v>
      </c>
      <c r="Q182" s="23">
        <v>1</v>
      </c>
      <c r="R182" s="23">
        <v>0</v>
      </c>
    </row>
    <row r="183" ht="16.5" spans="1:18">
      <c r="A183" s="19">
        <v>399701</v>
      </c>
      <c r="B183" s="19" t="s">
        <v>669</v>
      </c>
      <c r="C183" s="19">
        <v>6386.722</v>
      </c>
      <c r="D183" s="19">
        <v>7272.856</v>
      </c>
      <c r="E183" s="19">
        <v>1</v>
      </c>
      <c r="F183" s="20">
        <v>0</v>
      </c>
      <c r="G183" s="20">
        <v>0</v>
      </c>
      <c r="H183" s="20">
        <v>1</v>
      </c>
      <c r="I183" s="20">
        <v>2.31</v>
      </c>
      <c r="J183" s="20">
        <v>14.213</v>
      </c>
      <c r="K183" s="23">
        <v>4</v>
      </c>
      <c r="L183" s="23">
        <v>2</v>
      </c>
      <c r="M183" s="23">
        <v>-1</v>
      </c>
      <c r="N183" s="23">
        <v>1</v>
      </c>
      <c r="O183" s="23">
        <v>0</v>
      </c>
      <c r="P183" s="23">
        <v>15.225</v>
      </c>
      <c r="Q183" s="23">
        <v>1</v>
      </c>
      <c r="R183" s="23">
        <v>0</v>
      </c>
    </row>
    <row r="184" ht="16.5" spans="1:18">
      <c r="A184" s="19">
        <v>399702</v>
      </c>
      <c r="B184" s="19" t="s">
        <v>670</v>
      </c>
      <c r="C184" s="19">
        <v>5711.732</v>
      </c>
      <c r="D184" s="19">
        <v>6556.047</v>
      </c>
      <c r="E184" s="19">
        <v>1</v>
      </c>
      <c r="F184" s="20">
        <v>0</v>
      </c>
      <c r="G184" s="20">
        <v>0</v>
      </c>
      <c r="H184" s="20">
        <v>1</v>
      </c>
      <c r="I184" s="20">
        <v>1.467</v>
      </c>
      <c r="J184" s="20">
        <v>14.157</v>
      </c>
      <c r="K184" s="23">
        <v>4</v>
      </c>
      <c r="L184" s="23">
        <v>2</v>
      </c>
      <c r="M184" s="23">
        <v>-1</v>
      </c>
      <c r="N184" s="23">
        <v>1</v>
      </c>
      <c r="O184" s="23">
        <v>0</v>
      </c>
      <c r="P184" s="23">
        <v>74.93</v>
      </c>
      <c r="Q184" s="23">
        <v>0</v>
      </c>
      <c r="R184" s="23">
        <v>0</v>
      </c>
    </row>
    <row r="185" ht="16.5" spans="1:18">
      <c r="A185" s="19">
        <v>399703</v>
      </c>
      <c r="B185" s="19" t="s">
        <v>671</v>
      </c>
      <c r="C185" s="19">
        <v>5519.309</v>
      </c>
      <c r="D185" s="19">
        <v>6341.171</v>
      </c>
      <c r="E185" s="19">
        <v>1</v>
      </c>
      <c r="F185" s="20">
        <v>0</v>
      </c>
      <c r="G185" s="20">
        <v>0</v>
      </c>
      <c r="H185" s="20">
        <v>1</v>
      </c>
      <c r="I185" s="20">
        <v>0.75</v>
      </c>
      <c r="J185" s="20">
        <v>13.614</v>
      </c>
      <c r="K185" s="23">
        <v>4</v>
      </c>
      <c r="L185" s="23">
        <v>2</v>
      </c>
      <c r="M185" s="23">
        <v>-1</v>
      </c>
      <c r="N185" s="23">
        <v>1</v>
      </c>
      <c r="O185" s="23">
        <v>0</v>
      </c>
      <c r="P185" s="23">
        <v>74.017</v>
      </c>
      <c r="Q185" s="23">
        <v>1</v>
      </c>
      <c r="R185" s="23">
        <v>0</v>
      </c>
    </row>
    <row r="186" ht="16.5" spans="1:18">
      <c r="A186" s="19">
        <v>399705</v>
      </c>
      <c r="B186" s="19" t="s">
        <v>672</v>
      </c>
      <c r="C186" s="19">
        <v>2230.871</v>
      </c>
      <c r="D186" s="19">
        <v>2537.059</v>
      </c>
      <c r="E186" s="19">
        <v>1</v>
      </c>
      <c r="F186" s="20">
        <v>0</v>
      </c>
      <c r="G186" s="20">
        <v>0</v>
      </c>
      <c r="H186" s="20">
        <v>1</v>
      </c>
      <c r="I186" s="20">
        <v>0.627</v>
      </c>
      <c r="J186" s="20">
        <v>12.62</v>
      </c>
      <c r="K186" s="23">
        <v>4</v>
      </c>
      <c r="L186" s="23">
        <v>2</v>
      </c>
      <c r="M186" s="23">
        <v>-1</v>
      </c>
      <c r="N186" s="23">
        <v>1</v>
      </c>
      <c r="O186" s="23">
        <v>0</v>
      </c>
      <c r="P186" s="23">
        <v>40.684</v>
      </c>
      <c r="Q186" s="23">
        <v>1</v>
      </c>
      <c r="R186" s="23">
        <v>0</v>
      </c>
    </row>
    <row r="187" ht="16.5" spans="1:18">
      <c r="A187" s="19">
        <v>399750</v>
      </c>
      <c r="B187" s="19" t="s">
        <v>673</v>
      </c>
      <c r="C187" s="19">
        <v>7158.976</v>
      </c>
      <c r="D187" s="19">
        <v>8039.574</v>
      </c>
      <c r="E187" s="19">
        <v>1</v>
      </c>
      <c r="F187" s="20">
        <v>0</v>
      </c>
      <c r="G187" s="20">
        <v>0</v>
      </c>
      <c r="H187" s="20">
        <v>1</v>
      </c>
      <c r="I187" s="20">
        <v>1.506</v>
      </c>
      <c r="J187" s="20">
        <v>12.294</v>
      </c>
      <c r="K187" s="23">
        <v>4</v>
      </c>
      <c r="L187" s="23">
        <v>2</v>
      </c>
      <c r="M187" s="23">
        <v>-1</v>
      </c>
      <c r="N187" s="23">
        <v>1</v>
      </c>
      <c r="O187" s="23">
        <v>0</v>
      </c>
      <c r="P187" s="23">
        <v>7.078</v>
      </c>
      <c r="Q187" s="23">
        <v>0</v>
      </c>
      <c r="R187" s="23">
        <v>0</v>
      </c>
    </row>
    <row r="188" ht="16.5" spans="1:18">
      <c r="A188" s="19">
        <v>399850</v>
      </c>
      <c r="B188" s="19" t="s">
        <v>674</v>
      </c>
      <c r="C188" s="19">
        <v>5900.117</v>
      </c>
      <c r="D188" s="19">
        <v>6715.782</v>
      </c>
      <c r="E188" s="19">
        <v>1</v>
      </c>
      <c r="F188" s="20">
        <v>0</v>
      </c>
      <c r="G188" s="20">
        <v>0</v>
      </c>
      <c r="H188" s="20">
        <v>1</v>
      </c>
      <c r="I188" s="20">
        <v>3.185</v>
      </c>
      <c r="J188" s="20">
        <v>14.943</v>
      </c>
      <c r="K188" s="23">
        <v>3</v>
      </c>
      <c r="L188" s="23">
        <v>2</v>
      </c>
      <c r="M188" s="23">
        <v>-1</v>
      </c>
      <c r="N188" s="23">
        <v>1</v>
      </c>
      <c r="O188" s="23">
        <v>0</v>
      </c>
      <c r="P188" s="23">
        <v>25.382</v>
      </c>
      <c r="Q188" s="23">
        <v>1</v>
      </c>
      <c r="R188" s="23">
        <v>0</v>
      </c>
    </row>
    <row r="189" ht="16.5" spans="1:18">
      <c r="A189" s="19">
        <v>399903</v>
      </c>
      <c r="B189" s="19" t="s">
        <v>547</v>
      </c>
      <c r="C189" s="19">
        <v>3145.94</v>
      </c>
      <c r="D189" s="19">
        <v>3464.159</v>
      </c>
      <c r="E189" s="19">
        <v>1</v>
      </c>
      <c r="F189" s="20">
        <v>0</v>
      </c>
      <c r="G189" s="20">
        <v>0</v>
      </c>
      <c r="H189" s="20">
        <v>1</v>
      </c>
      <c r="I189" s="20">
        <v>2.764</v>
      </c>
      <c r="J189" s="20">
        <v>11.696</v>
      </c>
      <c r="K189" s="23">
        <v>4</v>
      </c>
      <c r="L189" s="23">
        <v>2</v>
      </c>
      <c r="M189" s="23">
        <v>-1</v>
      </c>
      <c r="N189" s="23">
        <v>1</v>
      </c>
      <c r="O189" s="23">
        <v>0</v>
      </c>
      <c r="P189" s="23">
        <v>8.263</v>
      </c>
      <c r="Q189" s="23">
        <v>0</v>
      </c>
      <c r="R189" s="23">
        <v>0</v>
      </c>
    </row>
    <row r="190" ht="16.5" spans="1:18">
      <c r="A190" s="19">
        <v>399965</v>
      </c>
      <c r="B190" s="19" t="s">
        <v>675</v>
      </c>
      <c r="C190" s="19">
        <v>2227.033</v>
      </c>
      <c r="D190" s="19">
        <v>2814.86</v>
      </c>
      <c r="E190" s="19">
        <v>1</v>
      </c>
      <c r="F190" s="20">
        <v>0</v>
      </c>
      <c r="G190" s="20">
        <v>0</v>
      </c>
      <c r="H190" s="20">
        <v>1</v>
      </c>
      <c r="I190" s="20">
        <v>2.068</v>
      </c>
      <c r="J190" s="20">
        <v>22.519</v>
      </c>
      <c r="K190" s="23">
        <v>4</v>
      </c>
      <c r="L190" s="23">
        <v>2</v>
      </c>
      <c r="M190" s="23">
        <v>0</v>
      </c>
      <c r="N190" s="23">
        <v>1</v>
      </c>
      <c r="O190" s="23">
        <v>0</v>
      </c>
      <c r="P190" s="23">
        <v>37.725</v>
      </c>
      <c r="Q190" s="23">
        <v>0</v>
      </c>
      <c r="R190" s="23">
        <v>0</v>
      </c>
    </row>
    <row r="191" ht="16.5" spans="1:18">
      <c r="A191" s="19">
        <v>399972</v>
      </c>
      <c r="B191" s="19" t="s">
        <v>676</v>
      </c>
      <c r="C191" s="19">
        <v>3613.306</v>
      </c>
      <c r="D191" s="19">
        <v>4128.968</v>
      </c>
      <c r="E191" s="19">
        <v>1</v>
      </c>
      <c r="F191" s="20">
        <v>0</v>
      </c>
      <c r="G191" s="20">
        <v>0</v>
      </c>
      <c r="H191" s="20">
        <v>1</v>
      </c>
      <c r="I191" s="20">
        <v>2.133</v>
      </c>
      <c r="J191" s="20">
        <v>14.355</v>
      </c>
      <c r="K191" s="23">
        <v>2</v>
      </c>
      <c r="L191" s="23">
        <v>2</v>
      </c>
      <c r="M191" s="23">
        <v>0</v>
      </c>
      <c r="N191" s="23">
        <v>1</v>
      </c>
      <c r="O191" s="23">
        <v>0</v>
      </c>
      <c r="P191" s="23">
        <v>91.033</v>
      </c>
      <c r="Q191" s="23">
        <v>0</v>
      </c>
      <c r="R191" s="23">
        <v>0</v>
      </c>
    </row>
    <row r="192" ht="16.5" spans="1:18">
      <c r="A192" s="19">
        <v>399974</v>
      </c>
      <c r="B192" s="19" t="s">
        <v>677</v>
      </c>
      <c r="C192" s="19">
        <v>1480.251</v>
      </c>
      <c r="D192" s="19">
        <v>1634.158</v>
      </c>
      <c r="E192" s="19">
        <v>1</v>
      </c>
      <c r="F192" s="20">
        <v>0</v>
      </c>
      <c r="G192" s="20">
        <v>0</v>
      </c>
      <c r="H192" s="20">
        <v>1</v>
      </c>
      <c r="I192" s="20">
        <v>0.116</v>
      </c>
      <c r="J192" s="20">
        <v>9.523</v>
      </c>
      <c r="K192" s="23">
        <v>4</v>
      </c>
      <c r="L192" s="23">
        <v>2</v>
      </c>
      <c r="M192" s="23">
        <v>0</v>
      </c>
      <c r="N192" s="23">
        <v>1</v>
      </c>
      <c r="O192" s="23">
        <v>0</v>
      </c>
      <c r="P192" s="23">
        <v>52.939</v>
      </c>
      <c r="Q192" s="23">
        <v>1</v>
      </c>
      <c r="R192" s="23">
        <v>0</v>
      </c>
    </row>
    <row r="193" ht="16.5" spans="1:18">
      <c r="A193" s="19">
        <v>980032</v>
      </c>
      <c r="B193" s="19" t="s">
        <v>678</v>
      </c>
      <c r="C193" s="19">
        <v>7315.785</v>
      </c>
      <c r="D193" s="19">
        <v>8825.29</v>
      </c>
      <c r="E193" s="19">
        <v>1</v>
      </c>
      <c r="F193" s="20">
        <v>0</v>
      </c>
      <c r="G193" s="20">
        <v>0</v>
      </c>
      <c r="H193" s="20">
        <v>1</v>
      </c>
      <c r="I193" s="20">
        <v>0.085</v>
      </c>
      <c r="J193" s="20">
        <v>17.175</v>
      </c>
      <c r="K193" s="23">
        <v>4</v>
      </c>
      <c r="L193" s="23">
        <v>2</v>
      </c>
      <c r="M193" s="23">
        <v>-1</v>
      </c>
      <c r="N193" s="23">
        <v>1</v>
      </c>
      <c r="O193" s="23">
        <v>0</v>
      </c>
      <c r="P193" s="23">
        <v>10.024</v>
      </c>
      <c r="Q193" s="23">
        <v>0</v>
      </c>
      <c r="R193" s="23">
        <v>0</v>
      </c>
    </row>
    <row r="194" ht="16.5" spans="1:18">
      <c r="A194" s="19">
        <v>988006</v>
      </c>
      <c r="B194" s="19" t="s">
        <v>679</v>
      </c>
      <c r="C194" s="19">
        <v>1486.822</v>
      </c>
      <c r="D194" s="19">
        <v>1736.152</v>
      </c>
      <c r="E194" s="19">
        <v>1</v>
      </c>
      <c r="F194" s="20">
        <v>0</v>
      </c>
      <c r="G194" s="20">
        <v>0</v>
      </c>
      <c r="H194" s="20">
        <v>1</v>
      </c>
      <c r="I194" s="20">
        <v>5.595</v>
      </c>
      <c r="J194" s="20">
        <v>19.153</v>
      </c>
      <c r="K194" s="23">
        <v>4</v>
      </c>
      <c r="L194" s="23">
        <v>2</v>
      </c>
      <c r="M194" s="23">
        <v>-1</v>
      </c>
      <c r="N194" s="23">
        <v>1</v>
      </c>
      <c r="O194" s="23">
        <v>0</v>
      </c>
      <c r="P194" s="23">
        <v>4.654</v>
      </c>
      <c r="Q194" s="23">
        <v>1</v>
      </c>
      <c r="R194" s="23">
        <v>0</v>
      </c>
    </row>
    <row r="195" ht="16.5" spans="1:18">
      <c r="A195" s="19">
        <v>988007</v>
      </c>
      <c r="B195" s="19" t="s">
        <v>680</v>
      </c>
      <c r="C195" s="19">
        <v>1483.731</v>
      </c>
      <c r="D195" s="19">
        <v>1731.357</v>
      </c>
      <c r="E195" s="19">
        <v>1</v>
      </c>
      <c r="F195" s="20">
        <v>0</v>
      </c>
      <c r="G195" s="20">
        <v>0</v>
      </c>
      <c r="H195" s="20">
        <v>1</v>
      </c>
      <c r="I195" s="20">
        <v>5.953</v>
      </c>
      <c r="J195" s="20">
        <v>19.404</v>
      </c>
      <c r="K195" s="23">
        <v>4</v>
      </c>
      <c r="L195" s="23">
        <v>2</v>
      </c>
      <c r="M195" s="23">
        <v>-1</v>
      </c>
      <c r="N195" s="23">
        <v>1</v>
      </c>
      <c r="O195" s="23">
        <v>0</v>
      </c>
      <c r="P195" s="23">
        <v>12.168</v>
      </c>
      <c r="Q195" s="23">
        <v>0</v>
      </c>
      <c r="R195" s="23">
        <v>0</v>
      </c>
    </row>
    <row r="196" ht="16.5" spans="1:18">
      <c r="A196" s="19">
        <v>988106</v>
      </c>
      <c r="B196" s="19" t="s">
        <v>681</v>
      </c>
      <c r="C196" s="19">
        <v>1622.867</v>
      </c>
      <c r="D196" s="19">
        <v>1888.996</v>
      </c>
      <c r="E196" s="19">
        <v>1</v>
      </c>
      <c r="F196" s="20">
        <v>0</v>
      </c>
      <c r="G196" s="20">
        <v>0</v>
      </c>
      <c r="H196" s="20">
        <v>1</v>
      </c>
      <c r="I196" s="20">
        <v>6.038</v>
      </c>
      <c r="J196" s="20">
        <v>19.276</v>
      </c>
      <c r="K196" s="23">
        <v>2</v>
      </c>
      <c r="L196" s="23">
        <v>2</v>
      </c>
      <c r="M196" s="23">
        <v>0</v>
      </c>
      <c r="N196" s="23">
        <v>1</v>
      </c>
      <c r="O196" s="23">
        <v>0</v>
      </c>
      <c r="P196" s="23">
        <v>21.389</v>
      </c>
      <c r="Q196" s="23">
        <v>0</v>
      </c>
      <c r="R196" s="23">
        <v>1</v>
      </c>
    </row>
    <row r="197" ht="16.5" spans="1:18">
      <c r="A197" s="19">
        <v>988107</v>
      </c>
      <c r="B197" s="19" t="s">
        <v>682</v>
      </c>
      <c r="C197" s="19">
        <v>1619.489</v>
      </c>
      <c r="D197" s="19">
        <v>1883.778</v>
      </c>
      <c r="E197" s="19">
        <v>1</v>
      </c>
      <c r="F197" s="20">
        <v>0</v>
      </c>
      <c r="G197" s="20">
        <v>0</v>
      </c>
      <c r="H197" s="20">
        <v>1</v>
      </c>
      <c r="I197" s="20">
        <v>6.394</v>
      </c>
      <c r="J197" s="20">
        <v>19.527</v>
      </c>
      <c r="K197" s="23">
        <v>4</v>
      </c>
      <c r="L197" s="23">
        <v>2</v>
      </c>
      <c r="M197" s="23">
        <v>-1</v>
      </c>
      <c r="N197" s="23">
        <v>1</v>
      </c>
      <c r="O197" s="23">
        <v>0</v>
      </c>
      <c r="P197" s="23">
        <v>6.015</v>
      </c>
      <c r="Q197" s="23">
        <v>0</v>
      </c>
      <c r="R197" s="23">
        <v>0</v>
      </c>
    </row>
    <row r="198" ht="16.5" spans="1:18">
      <c r="A198" s="24">
        <v>399622</v>
      </c>
      <c r="B198" s="24" t="s">
        <v>683</v>
      </c>
      <c r="C198" s="24">
        <v>1596.471</v>
      </c>
      <c r="D198" s="24">
        <v>1850.178</v>
      </c>
      <c r="E198" s="24">
        <v>0</v>
      </c>
      <c r="F198" s="24">
        <v>1</v>
      </c>
      <c r="G198" s="20">
        <v>0</v>
      </c>
      <c r="H198" s="20">
        <v>0</v>
      </c>
      <c r="I198" s="20">
        <v>0</v>
      </c>
      <c r="J198" s="20">
        <v>2.766</v>
      </c>
      <c r="K198" s="23">
        <v>1</v>
      </c>
      <c r="L198" s="23">
        <v>2</v>
      </c>
      <c r="M198" s="23">
        <v>-1</v>
      </c>
      <c r="N198" s="23">
        <v>1</v>
      </c>
      <c r="O198" s="23">
        <v>0</v>
      </c>
      <c r="P198" s="23">
        <v>11.987</v>
      </c>
      <c r="Q198" s="23">
        <v>0</v>
      </c>
      <c r="R198" s="23">
        <v>0</v>
      </c>
    </row>
    <row r="199" ht="16.5" spans="1:18">
      <c r="A199" s="24">
        <v>399689</v>
      </c>
      <c r="B199" s="24" t="s">
        <v>684</v>
      </c>
      <c r="C199" s="24">
        <v>827.955</v>
      </c>
      <c r="D199" s="24">
        <v>957.263</v>
      </c>
      <c r="E199" s="24">
        <v>0</v>
      </c>
      <c r="F199" s="24">
        <v>1</v>
      </c>
      <c r="G199" s="20">
        <v>0</v>
      </c>
      <c r="H199" s="20">
        <v>0</v>
      </c>
      <c r="I199" s="20">
        <v>0</v>
      </c>
      <c r="J199" s="20">
        <v>1.742</v>
      </c>
      <c r="K199" s="23">
        <v>4</v>
      </c>
      <c r="L199" s="23">
        <v>1</v>
      </c>
      <c r="M199" s="23">
        <v>0</v>
      </c>
      <c r="N199" s="23">
        <v>1</v>
      </c>
      <c r="O199" s="23">
        <v>0</v>
      </c>
      <c r="P199" s="23">
        <v>-9.213</v>
      </c>
      <c r="Q199" s="23">
        <v>0</v>
      </c>
      <c r="R199" s="23">
        <v>0</v>
      </c>
    </row>
    <row r="200" ht="16.5" spans="1:18">
      <c r="A200" s="25">
        <v>8</v>
      </c>
      <c r="B200" s="25" t="s">
        <v>685</v>
      </c>
      <c r="C200" s="25">
        <v>2611.594</v>
      </c>
      <c r="D200" s="25">
        <v>2782.626</v>
      </c>
      <c r="E200" s="25">
        <v>0</v>
      </c>
      <c r="F200" s="25">
        <v>0</v>
      </c>
      <c r="G200" s="25">
        <v>0</v>
      </c>
      <c r="H200" s="25">
        <v>1</v>
      </c>
      <c r="I200" s="20">
        <v>5.129</v>
      </c>
      <c r="J200" s="20">
        <v>10.961</v>
      </c>
      <c r="K200" s="23">
        <v>1</v>
      </c>
      <c r="L200" s="23">
        <v>2</v>
      </c>
      <c r="M200" s="23">
        <v>-1</v>
      </c>
      <c r="N200" s="23">
        <v>1</v>
      </c>
      <c r="O200" s="23">
        <v>0</v>
      </c>
      <c r="P200" s="23">
        <v>16.017</v>
      </c>
      <c r="Q200" s="23">
        <v>1</v>
      </c>
      <c r="R200" s="23">
        <v>0</v>
      </c>
    </row>
    <row r="201" ht="16.5" spans="1:18">
      <c r="A201" s="25">
        <v>12</v>
      </c>
      <c r="B201" s="25" t="s">
        <v>686</v>
      </c>
      <c r="C201" s="25">
        <v>212.805</v>
      </c>
      <c r="D201" s="25">
        <v>216.18</v>
      </c>
      <c r="E201" s="25">
        <v>0</v>
      </c>
      <c r="F201" s="25">
        <v>0</v>
      </c>
      <c r="G201" s="25">
        <v>0</v>
      </c>
      <c r="H201" s="25">
        <v>1</v>
      </c>
      <c r="I201" s="20">
        <v>0.645</v>
      </c>
      <c r="J201" s="20">
        <v>2.196</v>
      </c>
      <c r="K201" s="23">
        <v>4</v>
      </c>
      <c r="L201" s="23">
        <v>2</v>
      </c>
      <c r="M201" s="23">
        <v>0</v>
      </c>
      <c r="N201" s="23">
        <v>1</v>
      </c>
      <c r="O201" s="23">
        <v>0</v>
      </c>
      <c r="P201" s="23">
        <v>10.312</v>
      </c>
      <c r="Q201" s="23">
        <v>0</v>
      </c>
      <c r="R201" s="23">
        <v>0</v>
      </c>
    </row>
    <row r="202" ht="16.5" spans="1:18">
      <c r="A202" s="25">
        <v>13</v>
      </c>
      <c r="B202" s="25" t="s">
        <v>687</v>
      </c>
      <c r="C202" s="25">
        <v>286.427</v>
      </c>
      <c r="D202" s="25">
        <v>289.578</v>
      </c>
      <c r="E202" s="25">
        <v>0</v>
      </c>
      <c r="F202" s="25">
        <v>0</v>
      </c>
      <c r="G202" s="25">
        <v>0</v>
      </c>
      <c r="H202" s="25">
        <v>1</v>
      </c>
      <c r="I202" s="20">
        <v>0.446</v>
      </c>
      <c r="J202" s="20">
        <v>1.53</v>
      </c>
      <c r="K202" s="23">
        <v>4</v>
      </c>
      <c r="L202" s="23">
        <v>2</v>
      </c>
      <c r="M202" s="23">
        <v>-1</v>
      </c>
      <c r="N202" s="23">
        <v>1</v>
      </c>
      <c r="O202" s="23">
        <v>0</v>
      </c>
      <c r="P202" s="23">
        <v>24.323</v>
      </c>
      <c r="Q202" s="23">
        <v>1</v>
      </c>
      <c r="R202" s="23">
        <v>0</v>
      </c>
    </row>
    <row r="203" ht="16.5" spans="1:18">
      <c r="A203" s="25">
        <v>18</v>
      </c>
      <c r="B203" s="25" t="s">
        <v>688</v>
      </c>
      <c r="C203" s="25">
        <v>4309.996</v>
      </c>
      <c r="D203" s="25">
        <v>4620.301</v>
      </c>
      <c r="E203" s="25">
        <v>0</v>
      </c>
      <c r="F203" s="25">
        <v>0</v>
      </c>
      <c r="G203" s="25">
        <v>0</v>
      </c>
      <c r="H203" s="25">
        <v>1</v>
      </c>
      <c r="I203" s="20">
        <v>7.12</v>
      </c>
      <c r="J203" s="20">
        <v>13.358</v>
      </c>
      <c r="K203" s="23">
        <v>4</v>
      </c>
      <c r="L203" s="23">
        <v>2</v>
      </c>
      <c r="M203" s="23">
        <v>-1</v>
      </c>
      <c r="N203" s="23">
        <v>1</v>
      </c>
      <c r="O203" s="23">
        <v>0</v>
      </c>
      <c r="P203" s="23">
        <v>35.225</v>
      </c>
      <c r="Q203" s="23">
        <v>1</v>
      </c>
      <c r="R203" s="23">
        <v>0</v>
      </c>
    </row>
    <row r="204" ht="16.5" spans="1:18">
      <c r="A204" s="25">
        <v>22</v>
      </c>
      <c r="B204" s="25" t="s">
        <v>689</v>
      </c>
      <c r="C204" s="25">
        <v>240.288</v>
      </c>
      <c r="D204" s="25">
        <v>243.005</v>
      </c>
      <c r="E204" s="25">
        <v>0</v>
      </c>
      <c r="F204" s="25">
        <v>0</v>
      </c>
      <c r="G204" s="25">
        <v>0</v>
      </c>
      <c r="H204" s="25">
        <v>1</v>
      </c>
      <c r="I204" s="20">
        <v>0.451</v>
      </c>
      <c r="J204" s="20">
        <v>1.564</v>
      </c>
      <c r="K204" s="23">
        <v>4</v>
      </c>
      <c r="L204" s="23">
        <v>2</v>
      </c>
      <c r="M204" s="23">
        <v>-1</v>
      </c>
      <c r="N204" s="23">
        <v>1</v>
      </c>
      <c r="O204" s="23">
        <v>0</v>
      </c>
      <c r="P204" s="23">
        <v>21.521</v>
      </c>
      <c r="Q204" s="23">
        <v>0</v>
      </c>
      <c r="R204" s="23">
        <v>0</v>
      </c>
    </row>
    <row r="205" ht="16.5" spans="1:18">
      <c r="A205" s="25">
        <v>29</v>
      </c>
      <c r="B205" s="25" t="s">
        <v>690</v>
      </c>
      <c r="C205" s="25">
        <v>3554.737</v>
      </c>
      <c r="D205" s="25">
        <v>3846.287</v>
      </c>
      <c r="E205" s="25">
        <v>0</v>
      </c>
      <c r="F205" s="25">
        <v>0</v>
      </c>
      <c r="G205" s="25">
        <v>0</v>
      </c>
      <c r="H205" s="25">
        <v>1</v>
      </c>
      <c r="I205" s="20">
        <v>2.09</v>
      </c>
      <c r="J205" s="20">
        <v>9.511</v>
      </c>
      <c r="K205" s="23">
        <v>4</v>
      </c>
      <c r="L205" s="23">
        <v>2</v>
      </c>
      <c r="M205" s="23">
        <v>-1</v>
      </c>
      <c r="N205" s="23">
        <v>1</v>
      </c>
      <c r="O205" s="23">
        <v>0</v>
      </c>
      <c r="P205" s="23">
        <v>35.464</v>
      </c>
      <c r="Q205" s="23">
        <v>1</v>
      </c>
      <c r="R205" s="23">
        <v>0</v>
      </c>
    </row>
    <row r="206" ht="16.5" spans="1:18">
      <c r="A206" s="25">
        <v>31</v>
      </c>
      <c r="B206" s="25" t="s">
        <v>691</v>
      </c>
      <c r="C206" s="25">
        <v>2562.392</v>
      </c>
      <c r="D206" s="25">
        <v>2748.638</v>
      </c>
      <c r="E206" s="25">
        <v>0</v>
      </c>
      <c r="F206" s="25">
        <v>0</v>
      </c>
      <c r="G206" s="25">
        <v>0</v>
      </c>
      <c r="H206" s="25">
        <v>1</v>
      </c>
      <c r="I206" s="20">
        <v>3.112</v>
      </c>
      <c r="J206" s="20">
        <v>9.677</v>
      </c>
      <c r="K206" s="23">
        <v>4</v>
      </c>
      <c r="L206" s="23">
        <v>2</v>
      </c>
      <c r="M206" s="23">
        <v>-1</v>
      </c>
      <c r="N206" s="23">
        <v>1</v>
      </c>
      <c r="O206" s="23">
        <v>0</v>
      </c>
      <c r="P206" s="23">
        <v>39.46</v>
      </c>
      <c r="Q206" s="23">
        <v>0</v>
      </c>
      <c r="R206" s="23">
        <v>0</v>
      </c>
    </row>
    <row r="207" ht="16.5" spans="1:18">
      <c r="A207" s="25">
        <v>38</v>
      </c>
      <c r="B207" s="25" t="s">
        <v>692</v>
      </c>
      <c r="C207" s="25">
        <v>4273.822</v>
      </c>
      <c r="D207" s="25">
        <v>4598.467</v>
      </c>
      <c r="E207" s="25">
        <v>0</v>
      </c>
      <c r="F207" s="25">
        <v>0</v>
      </c>
      <c r="G207" s="25">
        <v>0</v>
      </c>
      <c r="H207" s="25">
        <v>1</v>
      </c>
      <c r="I207" s="20">
        <v>6.62</v>
      </c>
      <c r="J207" s="20">
        <v>13.212</v>
      </c>
      <c r="K207" s="23">
        <v>4</v>
      </c>
      <c r="L207" s="23">
        <v>2</v>
      </c>
      <c r="M207" s="23">
        <v>-1</v>
      </c>
      <c r="N207" s="23">
        <v>1</v>
      </c>
      <c r="O207" s="23">
        <v>0</v>
      </c>
      <c r="P207" s="23">
        <v>26.156</v>
      </c>
      <c r="Q207" s="23">
        <v>0</v>
      </c>
      <c r="R207" s="23">
        <v>0</v>
      </c>
    </row>
    <row r="208" ht="16.5" spans="1:18">
      <c r="A208" s="25">
        <v>52</v>
      </c>
      <c r="B208" s="25" t="s">
        <v>693</v>
      </c>
      <c r="C208" s="25">
        <v>2386.737</v>
      </c>
      <c r="D208" s="25">
        <v>2580.561</v>
      </c>
      <c r="E208" s="25">
        <v>0</v>
      </c>
      <c r="F208" s="25">
        <v>0</v>
      </c>
      <c r="G208" s="25">
        <v>0</v>
      </c>
      <c r="H208" s="25">
        <v>1</v>
      </c>
      <c r="I208" s="20">
        <v>3.293</v>
      </c>
      <c r="J208" s="20">
        <v>10.557</v>
      </c>
      <c r="K208" s="23">
        <v>4</v>
      </c>
      <c r="L208" s="23">
        <v>2</v>
      </c>
      <c r="M208" s="23">
        <v>-1</v>
      </c>
      <c r="N208" s="23">
        <v>1</v>
      </c>
      <c r="O208" s="23">
        <v>0</v>
      </c>
      <c r="P208" s="23">
        <v>39.55</v>
      </c>
      <c r="Q208" s="23">
        <v>1</v>
      </c>
      <c r="R208" s="23">
        <v>0</v>
      </c>
    </row>
    <row r="209" ht="16.5" spans="1:18">
      <c r="A209" s="25">
        <v>53</v>
      </c>
      <c r="B209" s="25" t="s">
        <v>694</v>
      </c>
      <c r="C209" s="25">
        <v>9877.211</v>
      </c>
      <c r="D209" s="25">
        <v>10694.966</v>
      </c>
      <c r="E209" s="25">
        <v>0</v>
      </c>
      <c r="F209" s="25">
        <v>0</v>
      </c>
      <c r="G209" s="25">
        <v>0</v>
      </c>
      <c r="H209" s="25">
        <v>1</v>
      </c>
      <c r="I209" s="20">
        <v>2.284</v>
      </c>
      <c r="J209" s="20">
        <v>9.755</v>
      </c>
      <c r="K209" s="23">
        <v>4</v>
      </c>
      <c r="L209" s="23">
        <v>2</v>
      </c>
      <c r="M209" s="23">
        <v>-1</v>
      </c>
      <c r="N209" s="23">
        <v>1</v>
      </c>
      <c r="O209" s="23">
        <v>0</v>
      </c>
      <c r="P209" s="23">
        <v>3.023</v>
      </c>
      <c r="Q209" s="23">
        <v>0</v>
      </c>
      <c r="R209" s="23">
        <v>0</v>
      </c>
    </row>
    <row r="210" ht="16.5" spans="1:18">
      <c r="A210" s="25">
        <v>54</v>
      </c>
      <c r="B210" s="25" t="s">
        <v>695</v>
      </c>
      <c r="C210" s="25">
        <v>1145.53</v>
      </c>
      <c r="D210" s="25">
        <v>1236.917</v>
      </c>
      <c r="E210" s="25">
        <v>0</v>
      </c>
      <c r="F210" s="25">
        <v>0</v>
      </c>
      <c r="G210" s="25">
        <v>0</v>
      </c>
      <c r="H210" s="25">
        <v>1</v>
      </c>
      <c r="I210" s="20">
        <v>3.967</v>
      </c>
      <c r="J210" s="20">
        <v>11.062</v>
      </c>
      <c r="K210" s="23">
        <v>4</v>
      </c>
      <c r="L210" s="23">
        <v>2</v>
      </c>
      <c r="M210" s="23">
        <v>-1</v>
      </c>
      <c r="N210" s="23">
        <v>1</v>
      </c>
      <c r="O210" s="23">
        <v>0</v>
      </c>
      <c r="P210" s="23">
        <v>14.527</v>
      </c>
      <c r="Q210" s="23">
        <v>1</v>
      </c>
      <c r="R210" s="23">
        <v>0</v>
      </c>
    </row>
    <row r="211" ht="16.5" spans="1:18">
      <c r="A211" s="25">
        <v>60</v>
      </c>
      <c r="B211" s="25" t="s">
        <v>696</v>
      </c>
      <c r="C211" s="25">
        <v>3405.253</v>
      </c>
      <c r="D211" s="25">
        <v>3682.754</v>
      </c>
      <c r="E211" s="25">
        <v>0</v>
      </c>
      <c r="F211" s="25">
        <v>0</v>
      </c>
      <c r="G211" s="25">
        <v>0</v>
      </c>
      <c r="H211" s="25">
        <v>1</v>
      </c>
      <c r="I211" s="20">
        <v>2.373</v>
      </c>
      <c r="J211" s="20">
        <v>9.729</v>
      </c>
      <c r="K211" s="23">
        <v>4</v>
      </c>
      <c r="L211" s="23">
        <v>2</v>
      </c>
      <c r="M211" s="23">
        <v>0</v>
      </c>
      <c r="N211" s="23">
        <v>1</v>
      </c>
      <c r="O211" s="23">
        <v>0</v>
      </c>
      <c r="P211" s="23">
        <v>16.741</v>
      </c>
      <c r="Q211" s="23">
        <v>1</v>
      </c>
      <c r="R211" s="23">
        <v>0</v>
      </c>
    </row>
    <row r="212" ht="16.5" spans="1:18">
      <c r="A212" s="25">
        <v>61</v>
      </c>
      <c r="B212" s="25" t="s">
        <v>697</v>
      </c>
      <c r="C212" s="25">
        <v>169.654</v>
      </c>
      <c r="D212" s="25">
        <v>173.445</v>
      </c>
      <c r="E212" s="25">
        <v>0</v>
      </c>
      <c r="F212" s="25">
        <v>0</v>
      </c>
      <c r="G212" s="25">
        <v>0</v>
      </c>
      <c r="H212" s="25">
        <v>1</v>
      </c>
      <c r="I212" s="20">
        <v>0.869</v>
      </c>
      <c r="J212" s="20">
        <v>3.036</v>
      </c>
      <c r="K212" s="23">
        <v>4</v>
      </c>
      <c r="L212" s="23">
        <v>2</v>
      </c>
      <c r="M212" s="23">
        <v>-1</v>
      </c>
      <c r="N212" s="23">
        <v>1</v>
      </c>
      <c r="O212" s="23">
        <v>0</v>
      </c>
      <c r="P212" s="23">
        <v>16.996</v>
      </c>
      <c r="Q212" s="23">
        <v>0</v>
      </c>
      <c r="R212" s="23">
        <v>0</v>
      </c>
    </row>
    <row r="213" ht="16.5" spans="1:18">
      <c r="A213" s="25">
        <v>63</v>
      </c>
      <c r="B213" s="25" t="s">
        <v>698</v>
      </c>
      <c r="C213" s="25">
        <v>2875.996</v>
      </c>
      <c r="D213" s="25">
        <v>3121.246</v>
      </c>
      <c r="E213" s="25">
        <v>0</v>
      </c>
      <c r="F213" s="25">
        <v>0</v>
      </c>
      <c r="G213" s="25">
        <v>0</v>
      </c>
      <c r="H213" s="25">
        <v>1</v>
      </c>
      <c r="I213" s="20">
        <v>4.204</v>
      </c>
      <c r="J213" s="20">
        <v>11.731</v>
      </c>
      <c r="K213" s="23">
        <v>4</v>
      </c>
      <c r="L213" s="23">
        <v>2</v>
      </c>
      <c r="M213" s="23">
        <v>0</v>
      </c>
      <c r="N213" s="23">
        <v>1</v>
      </c>
      <c r="O213" s="23">
        <v>0</v>
      </c>
      <c r="P213" s="23">
        <v>281.406</v>
      </c>
      <c r="Q213" s="23">
        <v>0</v>
      </c>
      <c r="R213" s="23">
        <v>0</v>
      </c>
    </row>
    <row r="214" ht="16.5" spans="1:18">
      <c r="A214" s="25">
        <v>76</v>
      </c>
      <c r="B214" s="25" t="s">
        <v>699</v>
      </c>
      <c r="C214" s="25">
        <v>4166.447</v>
      </c>
      <c r="D214" s="25">
        <v>4472.065</v>
      </c>
      <c r="E214" s="25">
        <v>0</v>
      </c>
      <c r="F214" s="25">
        <v>0</v>
      </c>
      <c r="G214" s="25">
        <v>0</v>
      </c>
      <c r="H214" s="25">
        <v>1</v>
      </c>
      <c r="I214" s="20">
        <v>6.787</v>
      </c>
      <c r="J214" s="20">
        <v>13.157</v>
      </c>
      <c r="K214" s="23">
        <v>4</v>
      </c>
      <c r="L214" s="23">
        <v>2</v>
      </c>
      <c r="M214" s="23">
        <v>0</v>
      </c>
      <c r="N214" s="23">
        <v>1</v>
      </c>
      <c r="O214" s="23">
        <v>0</v>
      </c>
      <c r="P214" s="23">
        <v>82.511</v>
      </c>
      <c r="Q214" s="23">
        <v>0</v>
      </c>
      <c r="R214" s="23">
        <v>0</v>
      </c>
    </row>
    <row r="215" ht="16.5" spans="1:18">
      <c r="A215" s="25">
        <v>101</v>
      </c>
      <c r="B215" s="25" t="s">
        <v>700</v>
      </c>
      <c r="C215" s="25">
        <v>238.729</v>
      </c>
      <c r="D215" s="25">
        <v>241.206</v>
      </c>
      <c r="E215" s="25">
        <v>0</v>
      </c>
      <c r="F215" s="25">
        <v>0</v>
      </c>
      <c r="G215" s="25">
        <v>0</v>
      </c>
      <c r="H215" s="25">
        <v>1</v>
      </c>
      <c r="I215" s="20">
        <v>0.435</v>
      </c>
      <c r="J215" s="20">
        <v>1.458</v>
      </c>
      <c r="K215" s="23">
        <v>4</v>
      </c>
      <c r="L215" s="23">
        <v>2</v>
      </c>
      <c r="M215" s="23">
        <v>-1</v>
      </c>
      <c r="N215" s="23">
        <v>1</v>
      </c>
      <c r="O215" s="23">
        <v>0</v>
      </c>
      <c r="P215" s="23">
        <v>24.895</v>
      </c>
      <c r="Q215" s="23">
        <v>0</v>
      </c>
      <c r="R215" s="23">
        <v>0</v>
      </c>
    </row>
    <row r="216" ht="16.5" spans="1:18">
      <c r="A216" s="25">
        <v>116</v>
      </c>
      <c r="B216" s="25" t="s">
        <v>701</v>
      </c>
      <c r="C216" s="25">
        <v>190.33</v>
      </c>
      <c r="D216" s="25">
        <v>192.25</v>
      </c>
      <c r="E216" s="25">
        <v>0</v>
      </c>
      <c r="F216" s="25">
        <v>0</v>
      </c>
      <c r="G216" s="25">
        <v>0</v>
      </c>
      <c r="H216" s="25">
        <v>1</v>
      </c>
      <c r="I216" s="20">
        <v>0.306</v>
      </c>
      <c r="J216" s="20">
        <v>1.302</v>
      </c>
      <c r="K216" s="23">
        <v>4</v>
      </c>
      <c r="L216" s="23">
        <v>2</v>
      </c>
      <c r="M216" s="23">
        <v>0</v>
      </c>
      <c r="N216" s="23">
        <v>1</v>
      </c>
      <c r="O216" s="23">
        <v>0</v>
      </c>
      <c r="P216" s="23">
        <v>19.858</v>
      </c>
      <c r="Q216" s="23">
        <v>0</v>
      </c>
      <c r="R216" s="23">
        <v>0</v>
      </c>
    </row>
    <row r="217" ht="16.5" spans="1:18">
      <c r="A217" s="25">
        <v>134</v>
      </c>
      <c r="B217" s="25" t="s">
        <v>702</v>
      </c>
      <c r="C217" s="25">
        <v>802.963</v>
      </c>
      <c r="D217" s="25">
        <v>876.953</v>
      </c>
      <c r="E217" s="25">
        <v>0</v>
      </c>
      <c r="F217" s="25">
        <v>0</v>
      </c>
      <c r="G217" s="25">
        <v>0</v>
      </c>
      <c r="H217" s="25">
        <v>1</v>
      </c>
      <c r="I217" s="20">
        <v>0.034</v>
      </c>
      <c r="J217" s="20">
        <v>8.468</v>
      </c>
      <c r="K217" s="23">
        <v>4</v>
      </c>
      <c r="L217" s="23">
        <v>2</v>
      </c>
      <c r="M217" s="23">
        <v>-1</v>
      </c>
      <c r="N217" s="23">
        <v>1</v>
      </c>
      <c r="O217" s="23">
        <v>0</v>
      </c>
      <c r="P217" s="23">
        <v>20.589</v>
      </c>
      <c r="Q217" s="23">
        <v>0</v>
      </c>
      <c r="R217" s="23">
        <v>0</v>
      </c>
    </row>
    <row r="218" ht="16.5" spans="1:18">
      <c r="A218" s="25">
        <v>149</v>
      </c>
      <c r="B218" s="25" t="s">
        <v>703</v>
      </c>
      <c r="C218" s="25">
        <v>3382.065</v>
      </c>
      <c r="D218" s="25">
        <v>3678.781</v>
      </c>
      <c r="E218" s="25">
        <v>0</v>
      </c>
      <c r="F218" s="25">
        <v>0</v>
      </c>
      <c r="G218" s="25">
        <v>0</v>
      </c>
      <c r="H218" s="25">
        <v>1</v>
      </c>
      <c r="I218" s="20">
        <v>0.747</v>
      </c>
      <c r="J218" s="20">
        <v>8.752</v>
      </c>
      <c r="K218" s="23">
        <v>3</v>
      </c>
      <c r="L218" s="23">
        <v>2</v>
      </c>
      <c r="M218" s="23">
        <v>-1</v>
      </c>
      <c r="N218" s="23">
        <v>1</v>
      </c>
      <c r="O218" s="23">
        <v>0</v>
      </c>
      <c r="P218" s="23">
        <v>6.931</v>
      </c>
      <c r="Q218" s="23">
        <v>0</v>
      </c>
      <c r="R218" s="23">
        <v>0</v>
      </c>
    </row>
    <row r="219" ht="16.5" spans="1:18">
      <c r="A219" s="25">
        <v>849</v>
      </c>
      <c r="B219" s="25" t="s">
        <v>704</v>
      </c>
      <c r="C219" s="25">
        <v>6803.212</v>
      </c>
      <c r="D219" s="25">
        <v>7684.468</v>
      </c>
      <c r="E219" s="25">
        <v>0</v>
      </c>
      <c r="F219" s="25">
        <v>0</v>
      </c>
      <c r="G219" s="25">
        <v>0</v>
      </c>
      <c r="H219" s="25">
        <v>1</v>
      </c>
      <c r="I219" s="20">
        <v>14.714</v>
      </c>
      <c r="J219" s="20">
        <v>24.495</v>
      </c>
      <c r="K219" s="23">
        <v>4</v>
      </c>
      <c r="L219" s="23">
        <v>2</v>
      </c>
      <c r="M219" s="23">
        <v>0</v>
      </c>
      <c r="N219" s="23">
        <v>1</v>
      </c>
      <c r="O219" s="23">
        <v>0</v>
      </c>
      <c r="P219" s="23">
        <v>33.651</v>
      </c>
      <c r="Q219" s="23">
        <v>0</v>
      </c>
      <c r="R219" s="23">
        <v>0</v>
      </c>
    </row>
    <row r="220" ht="16.5" spans="1:18">
      <c r="A220" s="25">
        <v>865</v>
      </c>
      <c r="B220" s="25" t="s">
        <v>705</v>
      </c>
      <c r="C220" s="25">
        <v>1082.604</v>
      </c>
      <c r="D220" s="25">
        <v>1196.522</v>
      </c>
      <c r="E220" s="25">
        <v>0</v>
      </c>
      <c r="F220" s="25">
        <v>0</v>
      </c>
      <c r="G220" s="25">
        <v>0</v>
      </c>
      <c r="H220" s="25">
        <v>1</v>
      </c>
      <c r="I220" s="20">
        <v>3.42</v>
      </c>
      <c r="J220" s="20">
        <v>12.615</v>
      </c>
      <c r="K220" s="23">
        <v>4</v>
      </c>
      <c r="L220" s="23">
        <v>2</v>
      </c>
      <c r="M220" s="23">
        <v>-1</v>
      </c>
      <c r="N220" s="23">
        <v>1</v>
      </c>
      <c r="O220" s="23">
        <v>0</v>
      </c>
      <c r="P220" s="23">
        <v>18.434</v>
      </c>
      <c r="Q220" s="23">
        <v>0</v>
      </c>
      <c r="R220" s="23">
        <v>0</v>
      </c>
    </row>
    <row r="221" ht="16.5" spans="1:18">
      <c r="A221" s="25">
        <v>911</v>
      </c>
      <c r="B221" s="25" t="s">
        <v>706</v>
      </c>
      <c r="C221" s="25">
        <v>5210.761</v>
      </c>
      <c r="D221" s="25">
        <v>5812.912</v>
      </c>
      <c r="E221" s="25">
        <v>0</v>
      </c>
      <c r="F221" s="25">
        <v>0</v>
      </c>
      <c r="G221" s="25">
        <v>0</v>
      </c>
      <c r="H221" s="25">
        <v>1</v>
      </c>
      <c r="I221" s="20">
        <v>4.834</v>
      </c>
      <c r="J221" s="20">
        <v>14.692</v>
      </c>
      <c r="K221" s="23">
        <v>4</v>
      </c>
      <c r="L221" s="23">
        <v>2</v>
      </c>
      <c r="M221" s="23">
        <v>-1</v>
      </c>
      <c r="N221" s="23">
        <v>1</v>
      </c>
      <c r="O221" s="23">
        <v>0</v>
      </c>
      <c r="P221" s="23">
        <v>24.597</v>
      </c>
      <c r="Q221" s="23">
        <v>1</v>
      </c>
      <c r="R221" s="23">
        <v>0</v>
      </c>
    </row>
    <row r="222" ht="16.5" spans="1:18">
      <c r="A222" s="25">
        <v>914</v>
      </c>
      <c r="B222" s="25" t="s">
        <v>707</v>
      </c>
      <c r="C222" s="25">
        <v>4864.265</v>
      </c>
      <c r="D222" s="25">
        <v>5264.509</v>
      </c>
      <c r="E222" s="25">
        <v>0</v>
      </c>
      <c r="F222" s="25">
        <v>0</v>
      </c>
      <c r="G222" s="25">
        <v>0</v>
      </c>
      <c r="H222" s="25">
        <v>1</v>
      </c>
      <c r="I222" s="20">
        <v>7.491</v>
      </c>
      <c r="J222" s="20">
        <v>14.524</v>
      </c>
      <c r="K222" s="23">
        <v>4</v>
      </c>
      <c r="L222" s="23">
        <v>2</v>
      </c>
      <c r="M222" s="23">
        <v>-1</v>
      </c>
      <c r="N222" s="23">
        <v>1</v>
      </c>
      <c r="O222" s="23">
        <v>0</v>
      </c>
      <c r="P222" s="23">
        <v>0.006</v>
      </c>
      <c r="Q222" s="23">
        <v>0</v>
      </c>
      <c r="R222" s="23">
        <v>0</v>
      </c>
    </row>
    <row r="223" ht="16.5" spans="1:18">
      <c r="A223" s="25">
        <v>919</v>
      </c>
      <c r="B223" s="25" t="s">
        <v>708</v>
      </c>
      <c r="C223" s="25">
        <v>4271.269</v>
      </c>
      <c r="D223" s="25">
        <v>4639.943</v>
      </c>
      <c r="E223" s="25">
        <v>0</v>
      </c>
      <c r="F223" s="25">
        <v>0</v>
      </c>
      <c r="G223" s="25">
        <v>0</v>
      </c>
      <c r="H223" s="25">
        <v>1</v>
      </c>
      <c r="I223" s="20">
        <v>1.902</v>
      </c>
      <c r="J223" s="20">
        <v>9.697</v>
      </c>
      <c r="K223" s="23">
        <v>4</v>
      </c>
      <c r="L223" s="23">
        <v>2</v>
      </c>
      <c r="M223" s="23">
        <v>-1</v>
      </c>
      <c r="N223" s="23">
        <v>1</v>
      </c>
      <c r="O223" s="23">
        <v>0</v>
      </c>
      <c r="P223" s="23">
        <v>17.825</v>
      </c>
      <c r="Q223" s="23">
        <v>1</v>
      </c>
      <c r="R223" s="23">
        <v>0</v>
      </c>
    </row>
    <row r="224" ht="16.5" spans="1:18">
      <c r="A224" s="25">
        <v>923</v>
      </c>
      <c r="B224" s="25" t="s">
        <v>709</v>
      </c>
      <c r="C224" s="25">
        <v>240.941</v>
      </c>
      <c r="D224" s="25">
        <v>243.727</v>
      </c>
      <c r="E224" s="25">
        <v>0</v>
      </c>
      <c r="F224" s="25">
        <v>0</v>
      </c>
      <c r="G224" s="25">
        <v>0</v>
      </c>
      <c r="H224" s="25">
        <v>1</v>
      </c>
      <c r="I224" s="20">
        <v>0.431</v>
      </c>
      <c r="J224" s="20">
        <v>1.569</v>
      </c>
      <c r="K224" s="23">
        <v>4</v>
      </c>
      <c r="L224" s="23">
        <v>2</v>
      </c>
      <c r="M224" s="23">
        <v>-1</v>
      </c>
      <c r="N224" s="23">
        <v>1</v>
      </c>
      <c r="O224" s="23">
        <v>0</v>
      </c>
      <c r="P224" s="23">
        <v>10.635</v>
      </c>
      <c r="Q224" s="23">
        <v>1</v>
      </c>
      <c r="R224" s="23">
        <v>0</v>
      </c>
    </row>
    <row r="225" ht="16.5" spans="1:18">
      <c r="A225" s="25">
        <v>925</v>
      </c>
      <c r="B225" s="25" t="s">
        <v>710</v>
      </c>
      <c r="C225" s="25">
        <v>3842.112</v>
      </c>
      <c r="D225" s="25">
        <v>4178.407</v>
      </c>
      <c r="E225" s="25">
        <v>0</v>
      </c>
      <c r="F225" s="25">
        <v>0</v>
      </c>
      <c r="G225" s="25">
        <v>0</v>
      </c>
      <c r="H225" s="25">
        <v>1</v>
      </c>
      <c r="I225" s="20">
        <v>2.833</v>
      </c>
      <c r="J225" s="20">
        <v>10.653</v>
      </c>
      <c r="K225" s="23">
        <v>4</v>
      </c>
      <c r="L225" s="23">
        <v>2</v>
      </c>
      <c r="M225" s="23">
        <v>-1</v>
      </c>
      <c r="N225" s="23">
        <v>1</v>
      </c>
      <c r="O225" s="23">
        <v>0</v>
      </c>
      <c r="P225" s="23">
        <v>8.606</v>
      </c>
      <c r="Q225" s="23">
        <v>0</v>
      </c>
      <c r="R225" s="23">
        <v>0</v>
      </c>
    </row>
    <row r="226" ht="16.5" spans="1:18">
      <c r="A226" s="25">
        <v>934</v>
      </c>
      <c r="B226" s="25" t="s">
        <v>711</v>
      </c>
      <c r="C226" s="25">
        <v>4544.654</v>
      </c>
      <c r="D226" s="25">
        <v>4931.545</v>
      </c>
      <c r="E226" s="25">
        <v>0</v>
      </c>
      <c r="F226" s="25">
        <v>0</v>
      </c>
      <c r="G226" s="25">
        <v>0</v>
      </c>
      <c r="H226" s="25">
        <v>1</v>
      </c>
      <c r="I226" s="20">
        <v>7.941</v>
      </c>
      <c r="J226" s="20">
        <v>15.163</v>
      </c>
      <c r="K226" s="23">
        <v>4</v>
      </c>
      <c r="L226" s="23">
        <v>2</v>
      </c>
      <c r="M226" s="23">
        <v>-1</v>
      </c>
      <c r="N226" s="23">
        <v>1</v>
      </c>
      <c r="O226" s="23">
        <v>0</v>
      </c>
      <c r="P226" s="23">
        <v>2.407</v>
      </c>
      <c r="Q226" s="23">
        <v>0</v>
      </c>
      <c r="R226" s="23">
        <v>0</v>
      </c>
    </row>
    <row r="227" ht="16.5" spans="1:18">
      <c r="A227" s="25">
        <v>959</v>
      </c>
      <c r="B227" s="25" t="s">
        <v>712</v>
      </c>
      <c r="C227" s="25">
        <v>5945.948</v>
      </c>
      <c r="D227" s="25">
        <v>6476.695</v>
      </c>
      <c r="E227" s="25">
        <v>0</v>
      </c>
      <c r="F227" s="25">
        <v>0</v>
      </c>
      <c r="G227" s="25">
        <v>0</v>
      </c>
      <c r="H227" s="25">
        <v>1</v>
      </c>
      <c r="I227" s="20">
        <v>3.363</v>
      </c>
      <c r="J227" s="20">
        <v>11.282</v>
      </c>
      <c r="K227" s="23">
        <v>4</v>
      </c>
      <c r="L227" s="23">
        <v>2</v>
      </c>
      <c r="M227" s="23">
        <v>-1</v>
      </c>
      <c r="N227" s="23">
        <v>1</v>
      </c>
      <c r="O227" s="23">
        <v>0</v>
      </c>
      <c r="P227" s="23">
        <v>18.786</v>
      </c>
      <c r="Q227" s="23">
        <v>1</v>
      </c>
      <c r="R227" s="23">
        <v>0</v>
      </c>
    </row>
    <row r="228" ht="16.5" spans="1:18">
      <c r="A228" s="25">
        <v>974</v>
      </c>
      <c r="B228" s="25" t="s">
        <v>713</v>
      </c>
      <c r="C228" s="25">
        <v>5046.446</v>
      </c>
      <c r="D228" s="25">
        <v>5445.705</v>
      </c>
      <c r="E228" s="25">
        <v>0</v>
      </c>
      <c r="F228" s="25">
        <v>0</v>
      </c>
      <c r="G228" s="25">
        <v>0</v>
      </c>
      <c r="H228" s="25">
        <v>1</v>
      </c>
      <c r="I228" s="20">
        <v>8.107</v>
      </c>
      <c r="J228" s="20">
        <v>14.844</v>
      </c>
      <c r="K228" s="23">
        <v>4</v>
      </c>
      <c r="L228" s="23">
        <v>2</v>
      </c>
      <c r="M228" s="23">
        <v>0</v>
      </c>
      <c r="N228" s="23">
        <v>1</v>
      </c>
      <c r="O228" s="23">
        <v>0</v>
      </c>
      <c r="P228" s="23">
        <v>21.717</v>
      </c>
      <c r="Q228" s="23">
        <v>1</v>
      </c>
      <c r="R228" s="23">
        <v>0</v>
      </c>
    </row>
    <row r="229" ht="16.5" spans="1:18">
      <c r="A229" s="25">
        <v>992</v>
      </c>
      <c r="B229" s="25" t="s">
        <v>714</v>
      </c>
      <c r="C229" s="25">
        <v>4320.639</v>
      </c>
      <c r="D229" s="25">
        <v>4710.384</v>
      </c>
      <c r="E229" s="25">
        <v>0</v>
      </c>
      <c r="F229" s="25">
        <v>0</v>
      </c>
      <c r="G229" s="25">
        <v>0</v>
      </c>
      <c r="H229" s="25">
        <v>1</v>
      </c>
      <c r="I229" s="20">
        <v>7.867</v>
      </c>
      <c r="J229" s="20">
        <v>15.491</v>
      </c>
      <c r="K229" s="23">
        <v>4</v>
      </c>
      <c r="L229" s="23">
        <v>2</v>
      </c>
      <c r="M229" s="23">
        <v>-1</v>
      </c>
      <c r="N229" s="23">
        <v>1</v>
      </c>
      <c r="O229" s="23">
        <v>0</v>
      </c>
      <c r="P229" s="23">
        <v>24.521</v>
      </c>
      <c r="Q229" s="23">
        <v>0</v>
      </c>
      <c r="R229" s="23">
        <v>0</v>
      </c>
    </row>
    <row r="230" ht="16.5" spans="1:18">
      <c r="A230" s="25">
        <v>399237</v>
      </c>
      <c r="B230" s="25" t="s">
        <v>715</v>
      </c>
      <c r="C230" s="25">
        <v>881.079</v>
      </c>
      <c r="D230" s="25">
        <v>985.855</v>
      </c>
      <c r="E230" s="25">
        <v>0</v>
      </c>
      <c r="F230" s="25">
        <v>0</v>
      </c>
      <c r="G230" s="25">
        <v>0</v>
      </c>
      <c r="H230" s="25">
        <v>1</v>
      </c>
      <c r="I230" s="20">
        <v>4.545</v>
      </c>
      <c r="J230" s="20">
        <v>14.69</v>
      </c>
      <c r="K230" s="23">
        <v>4</v>
      </c>
      <c r="L230" s="23">
        <v>2</v>
      </c>
      <c r="M230" s="23">
        <v>-1</v>
      </c>
      <c r="N230" s="23">
        <v>1</v>
      </c>
      <c r="O230" s="23">
        <v>0</v>
      </c>
      <c r="P230" s="23">
        <v>160.045</v>
      </c>
      <c r="Q230" s="23">
        <v>1</v>
      </c>
      <c r="R230" s="23">
        <v>0</v>
      </c>
    </row>
    <row r="231" ht="16.5" spans="1:18">
      <c r="A231" s="25">
        <v>399240</v>
      </c>
      <c r="B231" s="25" t="s">
        <v>716</v>
      </c>
      <c r="C231" s="25">
        <v>908.537</v>
      </c>
      <c r="D231" s="25">
        <v>1052.626</v>
      </c>
      <c r="E231" s="25">
        <v>0</v>
      </c>
      <c r="F231" s="25">
        <v>0</v>
      </c>
      <c r="G231" s="25">
        <v>0</v>
      </c>
      <c r="H231" s="25">
        <v>1</v>
      </c>
      <c r="I231" s="20">
        <v>14.683</v>
      </c>
      <c r="J231" s="20">
        <v>26.362</v>
      </c>
      <c r="K231" s="23">
        <v>3</v>
      </c>
      <c r="L231" s="23">
        <v>2</v>
      </c>
      <c r="M231" s="23">
        <v>0</v>
      </c>
      <c r="N231" s="23">
        <v>1</v>
      </c>
      <c r="O231" s="23">
        <v>0</v>
      </c>
      <c r="P231" s="23">
        <v>78.279</v>
      </c>
      <c r="Q231" s="23">
        <v>0</v>
      </c>
      <c r="R231" s="23">
        <v>0</v>
      </c>
    </row>
    <row r="232" ht="16.5" spans="1:18">
      <c r="A232" s="25">
        <v>399286</v>
      </c>
      <c r="B232" s="25" t="s">
        <v>717</v>
      </c>
      <c r="C232" s="25">
        <v>2231.859</v>
      </c>
      <c r="D232" s="25">
        <v>2620.946</v>
      </c>
      <c r="E232" s="25">
        <v>0</v>
      </c>
      <c r="F232" s="25">
        <v>0</v>
      </c>
      <c r="G232" s="25">
        <v>0</v>
      </c>
      <c r="H232" s="25">
        <v>1</v>
      </c>
      <c r="I232" s="20">
        <v>7.331</v>
      </c>
      <c r="J232" s="20">
        <v>21.088</v>
      </c>
      <c r="K232" s="23">
        <v>4</v>
      </c>
      <c r="L232" s="23">
        <v>2</v>
      </c>
      <c r="M232" s="23">
        <v>-1</v>
      </c>
      <c r="N232" s="23">
        <v>1</v>
      </c>
      <c r="O232" s="23">
        <v>0</v>
      </c>
      <c r="P232" s="23">
        <v>25.505</v>
      </c>
      <c r="Q232" s="23">
        <v>0</v>
      </c>
      <c r="R232" s="23">
        <v>0</v>
      </c>
    </row>
    <row r="233" ht="16.5" spans="1:18">
      <c r="A233" s="25">
        <v>399289</v>
      </c>
      <c r="B233" s="25" t="s">
        <v>718</v>
      </c>
      <c r="C233" s="25">
        <v>114.29</v>
      </c>
      <c r="D233" s="25">
        <v>115.754</v>
      </c>
      <c r="E233" s="25">
        <v>0</v>
      </c>
      <c r="F233" s="25">
        <v>0</v>
      </c>
      <c r="G233" s="25">
        <v>0</v>
      </c>
      <c r="H233" s="25">
        <v>1</v>
      </c>
      <c r="I233" s="20">
        <v>0.64</v>
      </c>
      <c r="J233" s="20">
        <v>1.897</v>
      </c>
      <c r="K233" s="23">
        <v>4</v>
      </c>
      <c r="L233" s="23">
        <v>2</v>
      </c>
      <c r="M233" s="23">
        <v>0</v>
      </c>
      <c r="N233" s="23">
        <v>1</v>
      </c>
      <c r="O233" s="23">
        <v>0</v>
      </c>
      <c r="P233" s="23">
        <v>34.704</v>
      </c>
      <c r="Q233" s="23">
        <v>1</v>
      </c>
      <c r="R233" s="23">
        <v>0</v>
      </c>
    </row>
    <row r="234" ht="16.5" spans="1:18">
      <c r="A234" s="25">
        <v>399298</v>
      </c>
      <c r="B234" s="25" t="s">
        <v>719</v>
      </c>
      <c r="C234" s="25">
        <v>203.133</v>
      </c>
      <c r="D234" s="25">
        <v>205.149</v>
      </c>
      <c r="E234" s="25">
        <v>0</v>
      </c>
      <c r="F234" s="25">
        <v>0</v>
      </c>
      <c r="G234" s="25">
        <v>0</v>
      </c>
      <c r="H234" s="25">
        <v>1</v>
      </c>
      <c r="I234" s="20">
        <v>0.354</v>
      </c>
      <c r="J234" s="20">
        <v>1.333</v>
      </c>
      <c r="K234" s="23">
        <v>4</v>
      </c>
      <c r="L234" s="23">
        <v>2</v>
      </c>
      <c r="M234" s="23">
        <v>-1</v>
      </c>
      <c r="N234" s="23">
        <v>1</v>
      </c>
      <c r="O234" s="23">
        <v>0</v>
      </c>
      <c r="P234" s="23">
        <v>39.953</v>
      </c>
      <c r="Q234" s="23">
        <v>0</v>
      </c>
      <c r="R234" s="23">
        <v>0</v>
      </c>
    </row>
    <row r="235" ht="16.5" spans="1:18">
      <c r="A235" s="25">
        <v>399299</v>
      </c>
      <c r="B235" s="25" t="s">
        <v>720</v>
      </c>
      <c r="C235" s="25">
        <v>234.871</v>
      </c>
      <c r="D235" s="25">
        <v>236.893</v>
      </c>
      <c r="E235" s="25">
        <v>0</v>
      </c>
      <c r="F235" s="25">
        <v>0</v>
      </c>
      <c r="G235" s="25">
        <v>0</v>
      </c>
      <c r="H235" s="25">
        <v>1</v>
      </c>
      <c r="I235" s="20">
        <v>0.175</v>
      </c>
      <c r="J235" s="20">
        <v>1.027</v>
      </c>
      <c r="K235" s="23">
        <v>3</v>
      </c>
      <c r="L235" s="23">
        <v>2</v>
      </c>
      <c r="M235" s="23">
        <v>-1</v>
      </c>
      <c r="N235" s="23">
        <v>1</v>
      </c>
      <c r="O235" s="23">
        <v>0</v>
      </c>
      <c r="P235" s="23">
        <v>10.153</v>
      </c>
      <c r="Q235" s="23">
        <v>0</v>
      </c>
      <c r="R235" s="23">
        <v>0</v>
      </c>
    </row>
    <row r="236" ht="16.5" spans="1:18">
      <c r="A236" s="25">
        <v>399301</v>
      </c>
      <c r="B236" s="25" t="s">
        <v>721</v>
      </c>
      <c r="C236" s="25">
        <v>206.799</v>
      </c>
      <c r="D236" s="25">
        <v>208.851</v>
      </c>
      <c r="E236" s="25">
        <v>0</v>
      </c>
      <c r="F236" s="25">
        <v>0</v>
      </c>
      <c r="G236" s="25">
        <v>0</v>
      </c>
      <c r="H236" s="25">
        <v>1</v>
      </c>
      <c r="I236" s="20">
        <v>0.354</v>
      </c>
      <c r="J236" s="20">
        <v>1.333</v>
      </c>
      <c r="K236" s="23">
        <v>4</v>
      </c>
      <c r="L236" s="23">
        <v>2</v>
      </c>
      <c r="M236" s="23">
        <v>0</v>
      </c>
      <c r="N236" s="23">
        <v>1</v>
      </c>
      <c r="O236" s="23">
        <v>0</v>
      </c>
      <c r="P236" s="23">
        <v>19.221</v>
      </c>
      <c r="Q236" s="23">
        <v>0</v>
      </c>
      <c r="R236" s="23">
        <v>0</v>
      </c>
    </row>
    <row r="237" ht="16.5" spans="1:18">
      <c r="A237" s="25">
        <v>399302</v>
      </c>
      <c r="B237" s="25" t="s">
        <v>722</v>
      </c>
      <c r="C237" s="25">
        <v>210.766</v>
      </c>
      <c r="D237" s="25">
        <v>213.279</v>
      </c>
      <c r="E237" s="25">
        <v>0</v>
      </c>
      <c r="F237" s="25">
        <v>0</v>
      </c>
      <c r="G237" s="25">
        <v>0</v>
      </c>
      <c r="H237" s="25">
        <v>1</v>
      </c>
      <c r="I237" s="20">
        <v>0.299</v>
      </c>
      <c r="J237" s="20">
        <v>1.474</v>
      </c>
      <c r="K237" s="23">
        <v>4</v>
      </c>
      <c r="L237" s="23">
        <v>2</v>
      </c>
      <c r="M237" s="23">
        <v>-1</v>
      </c>
      <c r="N237" s="23">
        <v>1</v>
      </c>
      <c r="O237" s="23">
        <v>0</v>
      </c>
      <c r="P237" s="23">
        <v>81.164</v>
      </c>
      <c r="Q237" s="23">
        <v>0</v>
      </c>
      <c r="R237" s="23">
        <v>0</v>
      </c>
    </row>
    <row r="238" ht="16.5" spans="1:18">
      <c r="A238" s="25">
        <v>399310</v>
      </c>
      <c r="B238" s="25" t="s">
        <v>723</v>
      </c>
      <c r="C238" s="25">
        <v>5388.84</v>
      </c>
      <c r="D238" s="25">
        <v>5903.56</v>
      </c>
      <c r="E238" s="25">
        <v>0</v>
      </c>
      <c r="F238" s="25">
        <v>0</v>
      </c>
      <c r="G238" s="25">
        <v>0</v>
      </c>
      <c r="H238" s="25">
        <v>1</v>
      </c>
      <c r="I238" s="20">
        <v>4.826</v>
      </c>
      <c r="J238" s="20">
        <v>13.124</v>
      </c>
      <c r="K238" s="23">
        <v>4</v>
      </c>
      <c r="L238" s="23">
        <v>2</v>
      </c>
      <c r="M238" s="23">
        <v>-1</v>
      </c>
      <c r="N238" s="23">
        <v>1</v>
      </c>
      <c r="O238" s="23">
        <v>0</v>
      </c>
      <c r="P238" s="23">
        <v>14.206</v>
      </c>
      <c r="Q238" s="23">
        <v>1</v>
      </c>
      <c r="R238" s="23">
        <v>0</v>
      </c>
    </row>
    <row r="239" ht="16.5" spans="1:18">
      <c r="A239" s="25">
        <v>399318</v>
      </c>
      <c r="B239" s="25" t="s">
        <v>724</v>
      </c>
      <c r="C239" s="25">
        <v>4246.196</v>
      </c>
      <c r="D239" s="25">
        <v>4568.126</v>
      </c>
      <c r="E239" s="25">
        <v>0</v>
      </c>
      <c r="F239" s="25">
        <v>0</v>
      </c>
      <c r="G239" s="25">
        <v>0</v>
      </c>
      <c r="H239" s="25">
        <v>1</v>
      </c>
      <c r="I239" s="20">
        <v>4.505</v>
      </c>
      <c r="J239" s="20">
        <v>11.235</v>
      </c>
      <c r="K239" s="23">
        <v>4</v>
      </c>
      <c r="L239" s="23">
        <v>2</v>
      </c>
      <c r="M239" s="23">
        <v>-1</v>
      </c>
      <c r="N239" s="23">
        <v>1</v>
      </c>
      <c r="O239" s="23">
        <v>0</v>
      </c>
      <c r="P239" s="23">
        <v>8.876</v>
      </c>
      <c r="Q239" s="23">
        <v>0</v>
      </c>
      <c r="R239" s="23">
        <v>0</v>
      </c>
    </row>
    <row r="240" ht="16.5" spans="1:18">
      <c r="A240" s="25">
        <v>399321</v>
      </c>
      <c r="B240" s="25" t="s">
        <v>725</v>
      </c>
      <c r="C240" s="25">
        <v>6382.074</v>
      </c>
      <c r="D240" s="25">
        <v>6934.853</v>
      </c>
      <c r="E240" s="25">
        <v>0</v>
      </c>
      <c r="F240" s="25">
        <v>0</v>
      </c>
      <c r="G240" s="25">
        <v>0</v>
      </c>
      <c r="H240" s="25">
        <v>1</v>
      </c>
      <c r="I240" s="20">
        <v>3.452</v>
      </c>
      <c r="J240" s="20">
        <v>11.148</v>
      </c>
      <c r="K240" s="23">
        <v>4</v>
      </c>
      <c r="L240" s="23">
        <v>2</v>
      </c>
      <c r="M240" s="23">
        <v>-1</v>
      </c>
      <c r="N240" s="23">
        <v>1</v>
      </c>
      <c r="O240" s="23">
        <v>0</v>
      </c>
      <c r="P240" s="23">
        <v>25.028</v>
      </c>
      <c r="Q240" s="23">
        <v>0</v>
      </c>
      <c r="R240" s="23">
        <v>0</v>
      </c>
    </row>
    <row r="241" ht="16.5" spans="1:18">
      <c r="A241" s="25">
        <v>399352</v>
      </c>
      <c r="B241" s="25" t="s">
        <v>726</v>
      </c>
      <c r="C241" s="25">
        <v>6658.206</v>
      </c>
      <c r="D241" s="25">
        <v>7263.553</v>
      </c>
      <c r="E241" s="25">
        <v>0</v>
      </c>
      <c r="F241" s="25">
        <v>0</v>
      </c>
      <c r="G241" s="25">
        <v>0</v>
      </c>
      <c r="H241" s="25">
        <v>1</v>
      </c>
      <c r="I241" s="20">
        <v>6.741</v>
      </c>
      <c r="J241" s="20">
        <v>14.513</v>
      </c>
      <c r="K241" s="23">
        <v>3</v>
      </c>
      <c r="L241" s="23">
        <v>2</v>
      </c>
      <c r="M241" s="23">
        <v>0</v>
      </c>
      <c r="N241" s="23">
        <v>1</v>
      </c>
      <c r="O241" s="23">
        <v>0</v>
      </c>
      <c r="P241" s="23">
        <v>43.434</v>
      </c>
      <c r="Q241" s="23">
        <v>0</v>
      </c>
      <c r="R241" s="23">
        <v>0</v>
      </c>
    </row>
    <row r="242" ht="16.5" spans="1:18">
      <c r="A242" s="25">
        <v>399356</v>
      </c>
      <c r="B242" s="25" t="s">
        <v>727</v>
      </c>
      <c r="C242" s="25">
        <v>7556.65</v>
      </c>
      <c r="D242" s="25">
        <v>8271.913</v>
      </c>
      <c r="E242" s="25">
        <v>0</v>
      </c>
      <c r="F242" s="25">
        <v>0</v>
      </c>
      <c r="G242" s="25">
        <v>0</v>
      </c>
      <c r="H242" s="25">
        <v>1</v>
      </c>
      <c r="I242" s="20">
        <v>6.735</v>
      </c>
      <c r="J242" s="20">
        <v>14.8</v>
      </c>
      <c r="K242" s="23">
        <v>4</v>
      </c>
      <c r="L242" s="23">
        <v>2</v>
      </c>
      <c r="M242" s="23">
        <v>-1</v>
      </c>
      <c r="N242" s="23">
        <v>1</v>
      </c>
      <c r="O242" s="23">
        <v>0</v>
      </c>
      <c r="P242" s="23">
        <v>34.594</v>
      </c>
      <c r="Q242" s="23">
        <v>0</v>
      </c>
      <c r="R242" s="23">
        <v>0</v>
      </c>
    </row>
    <row r="243" ht="16.5" spans="1:18">
      <c r="A243" s="25">
        <v>399373</v>
      </c>
      <c r="B243" s="25" t="s">
        <v>728</v>
      </c>
      <c r="C243" s="25">
        <v>6890.791</v>
      </c>
      <c r="D243" s="25">
        <v>7418.251</v>
      </c>
      <c r="E243" s="25">
        <v>0</v>
      </c>
      <c r="F243" s="25">
        <v>0</v>
      </c>
      <c r="G243" s="25">
        <v>0</v>
      </c>
      <c r="H243" s="25">
        <v>1</v>
      </c>
      <c r="I243" s="20">
        <v>2.483</v>
      </c>
      <c r="J243" s="20">
        <v>9.417</v>
      </c>
      <c r="K243" s="23">
        <v>4</v>
      </c>
      <c r="L243" s="23">
        <v>2</v>
      </c>
      <c r="M243" s="23">
        <v>-1</v>
      </c>
      <c r="N243" s="23">
        <v>1</v>
      </c>
      <c r="O243" s="23">
        <v>0</v>
      </c>
      <c r="P243" s="23">
        <v>34.331</v>
      </c>
      <c r="Q243" s="23">
        <v>1</v>
      </c>
      <c r="R243" s="23">
        <v>0</v>
      </c>
    </row>
    <row r="244" ht="16.5" spans="1:18">
      <c r="A244" s="25">
        <v>399387</v>
      </c>
      <c r="B244" s="25" t="s">
        <v>729</v>
      </c>
      <c r="C244" s="25">
        <v>4013.791</v>
      </c>
      <c r="D244" s="25">
        <v>4334.641</v>
      </c>
      <c r="E244" s="25">
        <v>0</v>
      </c>
      <c r="F244" s="25">
        <v>0</v>
      </c>
      <c r="G244" s="25">
        <v>0</v>
      </c>
      <c r="H244" s="25">
        <v>1</v>
      </c>
      <c r="I244" s="20">
        <v>8.119</v>
      </c>
      <c r="J244" s="20">
        <v>14.92</v>
      </c>
      <c r="K244" s="23">
        <v>4</v>
      </c>
      <c r="L244" s="23">
        <v>2</v>
      </c>
      <c r="M244" s="23">
        <v>-1</v>
      </c>
      <c r="N244" s="23">
        <v>1</v>
      </c>
      <c r="O244" s="23">
        <v>0</v>
      </c>
      <c r="P244" s="23">
        <v>13.398</v>
      </c>
      <c r="Q244" s="23">
        <v>1</v>
      </c>
      <c r="R244" s="23">
        <v>0</v>
      </c>
    </row>
    <row r="245" ht="16.5" spans="1:18">
      <c r="A245" s="25">
        <v>399404</v>
      </c>
      <c r="B245" s="25" t="s">
        <v>730</v>
      </c>
      <c r="C245" s="25">
        <v>5658.51</v>
      </c>
      <c r="D245" s="25">
        <v>5989.278</v>
      </c>
      <c r="E245" s="25">
        <v>0</v>
      </c>
      <c r="F245" s="25">
        <v>0</v>
      </c>
      <c r="G245" s="25">
        <v>0</v>
      </c>
      <c r="H245" s="25">
        <v>1</v>
      </c>
      <c r="I245" s="20">
        <v>2.369</v>
      </c>
      <c r="J245" s="20">
        <v>7.761</v>
      </c>
      <c r="K245" s="23">
        <v>1</v>
      </c>
      <c r="L245" s="23">
        <v>0</v>
      </c>
      <c r="M245" s="23">
        <v>0</v>
      </c>
      <c r="N245" s="23">
        <v>1</v>
      </c>
      <c r="O245" s="23">
        <v>0</v>
      </c>
      <c r="P245" s="23">
        <v>0.768</v>
      </c>
      <c r="Q245" s="23">
        <v>0</v>
      </c>
      <c r="R245" s="23">
        <v>0</v>
      </c>
    </row>
    <row r="246" ht="16.5" spans="1:18">
      <c r="A246" s="25">
        <v>399420</v>
      </c>
      <c r="B246" s="25" t="s">
        <v>731</v>
      </c>
      <c r="C246" s="25">
        <v>964.616</v>
      </c>
      <c r="D246" s="25">
        <v>1101.527</v>
      </c>
      <c r="E246" s="25">
        <v>0</v>
      </c>
      <c r="F246" s="25">
        <v>0</v>
      </c>
      <c r="G246" s="25">
        <v>0</v>
      </c>
      <c r="H246" s="25">
        <v>1</v>
      </c>
      <c r="I246" s="20">
        <v>14.402</v>
      </c>
      <c r="J246" s="20">
        <v>25.041</v>
      </c>
      <c r="K246" s="23">
        <v>4</v>
      </c>
      <c r="L246" s="23">
        <v>2</v>
      </c>
      <c r="M246" s="23">
        <v>0</v>
      </c>
      <c r="N246" s="23">
        <v>1</v>
      </c>
      <c r="O246" s="23">
        <v>0</v>
      </c>
      <c r="P246" s="23">
        <v>68.256</v>
      </c>
      <c r="Q246" s="23">
        <v>0</v>
      </c>
      <c r="R246" s="23">
        <v>0</v>
      </c>
    </row>
    <row r="247" ht="16.5" spans="1:18">
      <c r="A247" s="25">
        <v>399427</v>
      </c>
      <c r="B247" s="25" t="s">
        <v>732</v>
      </c>
      <c r="C247" s="25">
        <v>2139.628</v>
      </c>
      <c r="D247" s="25">
        <v>2475.492</v>
      </c>
      <c r="E247" s="25">
        <v>0</v>
      </c>
      <c r="F247" s="25">
        <v>0</v>
      </c>
      <c r="G247" s="25">
        <v>0</v>
      </c>
      <c r="H247" s="25">
        <v>1</v>
      </c>
      <c r="I247" s="20">
        <v>1.685</v>
      </c>
      <c r="J247" s="20">
        <v>15.024</v>
      </c>
      <c r="K247" s="23">
        <v>4</v>
      </c>
      <c r="L247" s="23">
        <v>2</v>
      </c>
      <c r="M247" s="23">
        <v>-1</v>
      </c>
      <c r="N247" s="23">
        <v>1</v>
      </c>
      <c r="O247" s="23">
        <v>0</v>
      </c>
      <c r="P247" s="23">
        <v>25.296</v>
      </c>
      <c r="Q247" s="23">
        <v>1</v>
      </c>
      <c r="R247" s="23">
        <v>0</v>
      </c>
    </row>
    <row r="248" ht="16.5" spans="1:18">
      <c r="A248" s="25">
        <v>399431</v>
      </c>
      <c r="B248" s="25" t="s">
        <v>733</v>
      </c>
      <c r="C248" s="25">
        <v>6177.766</v>
      </c>
      <c r="D248" s="25">
        <v>6763.08</v>
      </c>
      <c r="E248" s="25">
        <v>0</v>
      </c>
      <c r="F248" s="25">
        <v>0</v>
      </c>
      <c r="G248" s="25">
        <v>0</v>
      </c>
      <c r="H248" s="25">
        <v>1</v>
      </c>
      <c r="I248" s="20">
        <v>0.161</v>
      </c>
      <c r="J248" s="20">
        <v>8.802</v>
      </c>
      <c r="K248" s="23">
        <v>4</v>
      </c>
      <c r="L248" s="23">
        <v>2</v>
      </c>
      <c r="M248" s="23">
        <v>-1</v>
      </c>
      <c r="N248" s="23">
        <v>1</v>
      </c>
      <c r="O248" s="23">
        <v>0</v>
      </c>
      <c r="P248" s="23">
        <v>54.037</v>
      </c>
      <c r="Q248" s="23">
        <v>1</v>
      </c>
      <c r="R248" s="23">
        <v>0</v>
      </c>
    </row>
    <row r="249" ht="16.5" spans="1:18">
      <c r="A249" s="25">
        <v>399437</v>
      </c>
      <c r="B249" s="25" t="s">
        <v>734</v>
      </c>
      <c r="C249" s="25">
        <v>4164.344</v>
      </c>
      <c r="D249" s="25">
        <v>4857.235</v>
      </c>
      <c r="E249" s="25">
        <v>0</v>
      </c>
      <c r="F249" s="25">
        <v>0</v>
      </c>
      <c r="G249" s="25">
        <v>0</v>
      </c>
      <c r="H249" s="25">
        <v>1</v>
      </c>
      <c r="I249" s="20">
        <v>13.787</v>
      </c>
      <c r="J249" s="20">
        <v>26.086</v>
      </c>
      <c r="K249" s="23">
        <v>4</v>
      </c>
      <c r="L249" s="23">
        <v>2</v>
      </c>
      <c r="M249" s="23">
        <v>-1</v>
      </c>
      <c r="N249" s="23">
        <v>1</v>
      </c>
      <c r="O249" s="23">
        <v>0</v>
      </c>
      <c r="P249" s="23">
        <v>32.125</v>
      </c>
      <c r="Q249" s="23">
        <v>1</v>
      </c>
      <c r="R249" s="23">
        <v>0</v>
      </c>
    </row>
    <row r="250" ht="16.5" spans="1:18">
      <c r="A250" s="25">
        <v>399481</v>
      </c>
      <c r="B250" s="25" t="s">
        <v>687</v>
      </c>
      <c r="C250" s="25">
        <v>127.224</v>
      </c>
      <c r="D250" s="25">
        <v>127.581</v>
      </c>
      <c r="E250" s="25">
        <v>0</v>
      </c>
      <c r="F250" s="25">
        <v>0</v>
      </c>
      <c r="G250" s="25">
        <v>0</v>
      </c>
      <c r="H250" s="25">
        <v>1</v>
      </c>
      <c r="I250" s="20">
        <v>0.059</v>
      </c>
      <c r="J250" s="20">
        <v>0.338</v>
      </c>
      <c r="K250" s="23">
        <v>4</v>
      </c>
      <c r="L250" s="23">
        <v>2</v>
      </c>
      <c r="M250" s="23">
        <v>0</v>
      </c>
      <c r="N250" s="23">
        <v>1</v>
      </c>
      <c r="O250" s="23">
        <v>0</v>
      </c>
      <c r="P250" s="23">
        <v>35.793</v>
      </c>
      <c r="Q250" s="23">
        <v>1</v>
      </c>
      <c r="R250" s="23">
        <v>0</v>
      </c>
    </row>
    <row r="251" ht="16.5" spans="1:18">
      <c r="A251" s="25">
        <v>399619</v>
      </c>
      <c r="B251" s="25" t="s">
        <v>735</v>
      </c>
      <c r="C251" s="25">
        <v>4522.818</v>
      </c>
      <c r="D251" s="25">
        <v>5220.57</v>
      </c>
      <c r="E251" s="25">
        <v>0</v>
      </c>
      <c r="F251" s="25">
        <v>0</v>
      </c>
      <c r="G251" s="25">
        <v>0</v>
      </c>
      <c r="H251" s="25">
        <v>1</v>
      </c>
      <c r="I251" s="20">
        <v>11.92</v>
      </c>
      <c r="J251" s="20">
        <v>23.692</v>
      </c>
      <c r="K251" s="23">
        <v>4</v>
      </c>
      <c r="L251" s="23">
        <v>2</v>
      </c>
      <c r="M251" s="23">
        <v>-1</v>
      </c>
      <c r="N251" s="23">
        <v>1</v>
      </c>
      <c r="O251" s="23">
        <v>0</v>
      </c>
      <c r="P251" s="23">
        <v>7.694</v>
      </c>
      <c r="Q251" s="23">
        <v>0</v>
      </c>
      <c r="R251" s="23">
        <v>0</v>
      </c>
    </row>
    <row r="252" ht="16.5" spans="1:18">
      <c r="A252" s="25">
        <v>399683</v>
      </c>
      <c r="B252" s="25" t="s">
        <v>736</v>
      </c>
      <c r="C252" s="25">
        <v>1423.222</v>
      </c>
      <c r="D252" s="25">
        <v>1600.306</v>
      </c>
      <c r="E252" s="25">
        <v>0</v>
      </c>
      <c r="F252" s="25">
        <v>0</v>
      </c>
      <c r="G252" s="25">
        <v>0</v>
      </c>
      <c r="H252" s="25">
        <v>1</v>
      </c>
      <c r="I252" s="20">
        <v>4.454</v>
      </c>
      <c r="J252" s="20">
        <v>15.027</v>
      </c>
      <c r="K252" s="23">
        <v>4</v>
      </c>
      <c r="L252" s="23">
        <v>2</v>
      </c>
      <c r="M252" s="23">
        <v>-1</v>
      </c>
      <c r="N252" s="23">
        <v>1</v>
      </c>
      <c r="O252" s="23">
        <v>0</v>
      </c>
      <c r="P252" s="23">
        <v>20.796</v>
      </c>
      <c r="Q252" s="23">
        <v>0</v>
      </c>
      <c r="R252" s="23">
        <v>0</v>
      </c>
    </row>
    <row r="253" ht="16.5" spans="1:18">
      <c r="A253" s="25">
        <v>399686</v>
      </c>
      <c r="B253" s="25" t="s">
        <v>737</v>
      </c>
      <c r="C253" s="25">
        <v>1328.227</v>
      </c>
      <c r="D253" s="25">
        <v>1545.856</v>
      </c>
      <c r="E253" s="25">
        <v>0</v>
      </c>
      <c r="F253" s="25">
        <v>0</v>
      </c>
      <c r="G253" s="25">
        <v>0</v>
      </c>
      <c r="H253" s="25">
        <v>1</v>
      </c>
      <c r="I253" s="20">
        <v>12.952</v>
      </c>
      <c r="J253" s="20">
        <v>25.207</v>
      </c>
      <c r="K253" s="23">
        <v>4</v>
      </c>
      <c r="L253" s="23">
        <v>2</v>
      </c>
      <c r="M253" s="23">
        <v>-1</v>
      </c>
      <c r="N253" s="23">
        <v>1</v>
      </c>
      <c r="O253" s="23">
        <v>0</v>
      </c>
      <c r="P253" s="23">
        <v>26.827</v>
      </c>
      <c r="Q253" s="23">
        <v>0</v>
      </c>
      <c r="R253" s="23">
        <v>0</v>
      </c>
    </row>
    <row r="254" ht="16.5" spans="1:18">
      <c r="A254" s="25">
        <v>399699</v>
      </c>
      <c r="B254" s="25" t="s">
        <v>738</v>
      </c>
      <c r="C254" s="25">
        <v>2204.761</v>
      </c>
      <c r="D254" s="25">
        <v>2631.661</v>
      </c>
      <c r="E254" s="25">
        <v>0</v>
      </c>
      <c r="F254" s="25">
        <v>0</v>
      </c>
      <c r="G254" s="25">
        <v>0</v>
      </c>
      <c r="H254" s="25">
        <v>1</v>
      </c>
      <c r="I254" s="20">
        <v>10.807</v>
      </c>
      <c r="J254" s="20">
        <v>25.275</v>
      </c>
      <c r="K254" s="23">
        <v>4</v>
      </c>
      <c r="L254" s="23">
        <v>2</v>
      </c>
      <c r="M254" s="23">
        <v>0</v>
      </c>
      <c r="N254" s="23">
        <v>1</v>
      </c>
      <c r="O254" s="23">
        <v>0</v>
      </c>
      <c r="P254" s="23">
        <v>13.629</v>
      </c>
      <c r="Q254" s="23">
        <v>1</v>
      </c>
      <c r="R254" s="23">
        <v>0</v>
      </c>
    </row>
    <row r="255" ht="16.5" spans="1:18">
      <c r="A255" s="25">
        <v>399707</v>
      </c>
      <c r="B255" s="25" t="s">
        <v>739</v>
      </c>
      <c r="C255" s="25">
        <v>4119.275</v>
      </c>
      <c r="D255" s="25">
        <v>4808.983</v>
      </c>
      <c r="E255" s="25">
        <v>0</v>
      </c>
      <c r="F255" s="25">
        <v>0</v>
      </c>
      <c r="G255" s="25">
        <v>0</v>
      </c>
      <c r="H255" s="25">
        <v>1</v>
      </c>
      <c r="I255" s="20">
        <v>13.721</v>
      </c>
      <c r="J255" s="20">
        <v>26.095</v>
      </c>
      <c r="K255" s="23">
        <v>2</v>
      </c>
      <c r="L255" s="23">
        <v>2</v>
      </c>
      <c r="M255" s="23">
        <v>0</v>
      </c>
      <c r="N255" s="23">
        <v>1</v>
      </c>
      <c r="O255" s="23">
        <v>0</v>
      </c>
      <c r="P255" s="23">
        <v>105.007</v>
      </c>
      <c r="Q255" s="23">
        <v>0</v>
      </c>
      <c r="R255" s="23">
        <v>0</v>
      </c>
    </row>
    <row r="256" ht="16.5" spans="1:18">
      <c r="A256" s="25">
        <v>399805</v>
      </c>
      <c r="B256" s="25" t="s">
        <v>740</v>
      </c>
      <c r="C256" s="25">
        <v>1722.39</v>
      </c>
      <c r="D256" s="25">
        <v>2057.242</v>
      </c>
      <c r="E256" s="25">
        <v>0</v>
      </c>
      <c r="F256" s="25">
        <v>0</v>
      </c>
      <c r="G256" s="25">
        <v>0</v>
      </c>
      <c r="H256" s="25">
        <v>1</v>
      </c>
      <c r="I256" s="20">
        <v>12.175</v>
      </c>
      <c r="J256" s="20">
        <v>26.47</v>
      </c>
      <c r="K256" s="23">
        <v>4</v>
      </c>
      <c r="L256" s="23">
        <v>2</v>
      </c>
      <c r="M256" s="23">
        <v>-1</v>
      </c>
      <c r="N256" s="23">
        <v>1</v>
      </c>
      <c r="O256" s="23">
        <v>0</v>
      </c>
      <c r="P256" s="23">
        <v>35.224</v>
      </c>
      <c r="Q256" s="23">
        <v>1</v>
      </c>
      <c r="R256" s="23">
        <v>0</v>
      </c>
    </row>
    <row r="257" ht="16.5" spans="1:18">
      <c r="A257" s="25">
        <v>399809</v>
      </c>
      <c r="B257" s="25" t="s">
        <v>741</v>
      </c>
      <c r="C257" s="25">
        <v>1658.675</v>
      </c>
      <c r="D257" s="25">
        <v>1841.013</v>
      </c>
      <c r="E257" s="25">
        <v>0</v>
      </c>
      <c r="F257" s="25">
        <v>0</v>
      </c>
      <c r="G257" s="25">
        <v>0</v>
      </c>
      <c r="H257" s="25">
        <v>1</v>
      </c>
      <c r="I257" s="20">
        <v>13.187</v>
      </c>
      <c r="J257" s="20">
        <v>21.785</v>
      </c>
      <c r="K257" s="23">
        <v>4</v>
      </c>
      <c r="L257" s="23">
        <v>2</v>
      </c>
      <c r="M257" s="23">
        <v>-1</v>
      </c>
      <c r="N257" s="23">
        <v>1</v>
      </c>
      <c r="O257" s="23">
        <v>0</v>
      </c>
      <c r="P257" s="23">
        <v>19.563</v>
      </c>
      <c r="Q257" s="23">
        <v>0</v>
      </c>
      <c r="R257" s="23">
        <v>0</v>
      </c>
    </row>
    <row r="258" ht="16.5" spans="1:18">
      <c r="A258" s="25">
        <v>399914</v>
      </c>
      <c r="B258" s="25" t="s">
        <v>742</v>
      </c>
      <c r="C258" s="25">
        <v>4864.265</v>
      </c>
      <c r="D258" s="25">
        <v>5264.508</v>
      </c>
      <c r="E258" s="25">
        <v>0</v>
      </c>
      <c r="F258" s="25">
        <v>0</v>
      </c>
      <c r="G258" s="25">
        <v>0</v>
      </c>
      <c r="H258" s="25">
        <v>1</v>
      </c>
      <c r="I258" s="20">
        <v>7.491</v>
      </c>
      <c r="J258" s="20">
        <v>14.524</v>
      </c>
      <c r="K258" s="23">
        <v>4</v>
      </c>
      <c r="L258" s="23">
        <v>2</v>
      </c>
      <c r="M258" s="23">
        <v>-1</v>
      </c>
      <c r="N258" s="23">
        <v>1</v>
      </c>
      <c r="O258" s="23">
        <v>0</v>
      </c>
      <c r="P258" s="23">
        <v>50.136</v>
      </c>
      <c r="Q258" s="23">
        <v>1</v>
      </c>
      <c r="R258" s="23">
        <v>0</v>
      </c>
    </row>
    <row r="259" ht="16.5" spans="1:18">
      <c r="A259" s="25">
        <v>399934</v>
      </c>
      <c r="B259" s="25" t="s">
        <v>711</v>
      </c>
      <c r="C259" s="25">
        <v>4544.654</v>
      </c>
      <c r="D259" s="25">
        <v>4931.544</v>
      </c>
      <c r="E259" s="25">
        <v>0</v>
      </c>
      <c r="F259" s="25">
        <v>0</v>
      </c>
      <c r="G259" s="25">
        <v>0</v>
      </c>
      <c r="H259" s="25">
        <v>1</v>
      </c>
      <c r="I259" s="20">
        <v>7.941</v>
      </c>
      <c r="J259" s="20">
        <v>15.163</v>
      </c>
      <c r="K259" s="23">
        <v>4</v>
      </c>
      <c r="L259" s="23">
        <v>2</v>
      </c>
      <c r="M259" s="23">
        <v>-1</v>
      </c>
      <c r="N259" s="23">
        <v>1</v>
      </c>
      <c r="O259" s="23">
        <v>0</v>
      </c>
      <c r="P259" s="23">
        <v>30.567</v>
      </c>
      <c r="Q259" s="23">
        <v>1</v>
      </c>
      <c r="R259" s="23">
        <v>0</v>
      </c>
    </row>
    <row r="260" ht="16.5" spans="1:18">
      <c r="A260" s="25">
        <v>399966</v>
      </c>
      <c r="B260" s="25" t="s">
        <v>743</v>
      </c>
      <c r="C260" s="25">
        <v>4104.79</v>
      </c>
      <c r="D260" s="25">
        <v>4692.672</v>
      </c>
      <c r="E260" s="25">
        <v>0</v>
      </c>
      <c r="F260" s="25">
        <v>0</v>
      </c>
      <c r="G260" s="25">
        <v>0</v>
      </c>
      <c r="H260" s="25">
        <v>1</v>
      </c>
      <c r="I260" s="20">
        <v>14.461</v>
      </c>
      <c r="J260" s="20">
        <v>25.177</v>
      </c>
      <c r="K260" s="23">
        <v>4</v>
      </c>
      <c r="L260" s="23">
        <v>2</v>
      </c>
      <c r="M260" s="23">
        <v>-1</v>
      </c>
      <c r="N260" s="23">
        <v>1</v>
      </c>
      <c r="O260" s="23">
        <v>0</v>
      </c>
      <c r="P260" s="23">
        <v>33.247</v>
      </c>
      <c r="Q260" s="23">
        <v>1</v>
      </c>
      <c r="R260" s="23">
        <v>0</v>
      </c>
    </row>
    <row r="261" ht="16.5" spans="1:18">
      <c r="A261" s="25">
        <v>399975</v>
      </c>
      <c r="B261" s="25" t="s">
        <v>744</v>
      </c>
      <c r="C261" s="25">
        <v>537.576</v>
      </c>
      <c r="D261" s="25">
        <v>628.155</v>
      </c>
      <c r="E261" s="25">
        <v>0</v>
      </c>
      <c r="F261" s="25">
        <v>0</v>
      </c>
      <c r="G261" s="25">
        <v>0</v>
      </c>
      <c r="H261" s="25">
        <v>1</v>
      </c>
      <c r="I261" s="20">
        <v>13.645</v>
      </c>
      <c r="J261" s="20">
        <v>26.097</v>
      </c>
      <c r="K261" s="23">
        <v>4</v>
      </c>
      <c r="L261" s="23">
        <v>2</v>
      </c>
      <c r="M261" s="23">
        <v>-1</v>
      </c>
      <c r="N261" s="23">
        <v>1</v>
      </c>
      <c r="O261" s="23">
        <v>0</v>
      </c>
      <c r="P261" s="23">
        <v>3.607</v>
      </c>
      <c r="Q261" s="23">
        <v>0</v>
      </c>
      <c r="R261" s="23">
        <v>0</v>
      </c>
    </row>
    <row r="262" ht="16.5" spans="1:18">
      <c r="A262" s="25">
        <v>399986</v>
      </c>
      <c r="B262" s="25" t="s">
        <v>745</v>
      </c>
      <c r="C262" s="25">
        <v>5897.021</v>
      </c>
      <c r="D262" s="25">
        <v>6462.81</v>
      </c>
      <c r="E262" s="25">
        <v>0</v>
      </c>
      <c r="F262" s="25">
        <v>0</v>
      </c>
      <c r="G262" s="25">
        <v>0</v>
      </c>
      <c r="H262" s="25">
        <v>1</v>
      </c>
      <c r="I262" s="20">
        <v>0.03</v>
      </c>
      <c r="J262" s="20">
        <v>8.782</v>
      </c>
      <c r="K262" s="23">
        <v>4</v>
      </c>
      <c r="L262" s="23">
        <v>2</v>
      </c>
      <c r="M262" s="23">
        <v>-1</v>
      </c>
      <c r="N262" s="23">
        <v>1</v>
      </c>
      <c r="O262" s="23">
        <v>0</v>
      </c>
      <c r="P262" s="23">
        <v>17.658</v>
      </c>
      <c r="Q262" s="23">
        <v>1</v>
      </c>
      <c r="R262" s="23">
        <v>0</v>
      </c>
    </row>
    <row r="263" ht="16.5" spans="1:18">
      <c r="A263" s="25">
        <v>980001</v>
      </c>
      <c r="B263" s="25" t="s">
        <v>746</v>
      </c>
      <c r="C263" s="25">
        <v>1005.933</v>
      </c>
      <c r="D263" s="25">
        <v>1109.159</v>
      </c>
      <c r="E263" s="25">
        <v>0</v>
      </c>
      <c r="F263" s="25">
        <v>0</v>
      </c>
      <c r="G263" s="25">
        <v>0</v>
      </c>
      <c r="H263" s="25">
        <v>1</v>
      </c>
      <c r="I263" s="20">
        <v>5.774</v>
      </c>
      <c r="J263" s="20">
        <v>14.543</v>
      </c>
      <c r="K263" s="23">
        <v>4</v>
      </c>
      <c r="L263" s="23">
        <v>2</v>
      </c>
      <c r="M263" s="23">
        <v>0</v>
      </c>
      <c r="N263" s="23">
        <v>1</v>
      </c>
      <c r="O263" s="23">
        <v>0</v>
      </c>
      <c r="P263" s="23">
        <v>24.906</v>
      </c>
      <c r="Q263" s="23">
        <v>1</v>
      </c>
      <c r="R263" s="23">
        <v>0</v>
      </c>
    </row>
    <row r="264" ht="16.5" spans="1:18">
      <c r="A264" s="25">
        <v>988201</v>
      </c>
      <c r="B264" s="25" t="s">
        <v>747</v>
      </c>
      <c r="C264" s="25">
        <v>1190.491</v>
      </c>
      <c r="D264" s="25">
        <v>1301.434</v>
      </c>
      <c r="E264" s="25">
        <v>0</v>
      </c>
      <c r="F264" s="25">
        <v>0</v>
      </c>
      <c r="G264" s="25">
        <v>0</v>
      </c>
      <c r="H264" s="25">
        <v>1</v>
      </c>
      <c r="I264" s="20">
        <v>7.307</v>
      </c>
      <c r="J264" s="20">
        <v>15.209</v>
      </c>
      <c r="K264" s="23">
        <v>4</v>
      </c>
      <c r="L264" s="23">
        <v>2</v>
      </c>
      <c r="M264" s="23">
        <v>-1</v>
      </c>
      <c r="N264" s="23">
        <v>1</v>
      </c>
      <c r="O264" s="23">
        <v>0</v>
      </c>
      <c r="P264" s="23">
        <v>19.807</v>
      </c>
      <c r="Q264" s="23">
        <v>0</v>
      </c>
      <c r="R264" s="23">
        <v>0</v>
      </c>
    </row>
    <row r="265" ht="16.5" spans="1:18">
      <c r="A265" s="26">
        <v>963</v>
      </c>
      <c r="B265" s="26" t="s">
        <v>748</v>
      </c>
      <c r="C265" s="26">
        <v>5968.856</v>
      </c>
      <c r="D265" s="26">
        <v>6657.234</v>
      </c>
      <c r="E265" s="26">
        <v>0</v>
      </c>
      <c r="F265" s="26">
        <v>0</v>
      </c>
      <c r="G265" s="26">
        <v>1</v>
      </c>
      <c r="H265" s="20">
        <v>0</v>
      </c>
      <c r="I265" s="20">
        <v>0</v>
      </c>
      <c r="J265" s="20">
        <v>0</v>
      </c>
      <c r="K265" s="23">
        <v>4</v>
      </c>
      <c r="L265" s="23">
        <v>2</v>
      </c>
      <c r="M265" s="23">
        <v>0</v>
      </c>
      <c r="N265" s="23">
        <v>1</v>
      </c>
      <c r="O265" s="23">
        <v>0</v>
      </c>
      <c r="P265" s="23">
        <v>159.127</v>
      </c>
      <c r="Q265" s="23">
        <v>1</v>
      </c>
      <c r="R265" s="23">
        <v>0</v>
      </c>
    </row>
    <row r="266" ht="16.5" spans="1:18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8"/>
      <c r="L266" s="28"/>
      <c r="M266" s="28"/>
      <c r="N266" s="28"/>
      <c r="O266" s="28"/>
      <c r="P266" s="28"/>
      <c r="Q266" s="28"/>
      <c r="R266" s="28"/>
    </row>
    <row r="267" ht="16.5" spans="1:18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8"/>
      <c r="L267" s="28"/>
      <c r="M267" s="28"/>
      <c r="N267" s="28"/>
      <c r="O267" s="28"/>
      <c r="P267" s="28"/>
      <c r="Q267" s="28"/>
      <c r="R267" s="28"/>
    </row>
    <row r="268" ht="16.5" spans="1:1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8"/>
      <c r="L268" s="28"/>
      <c r="M268" s="28"/>
      <c r="N268" s="28"/>
      <c r="O268" s="28"/>
      <c r="P268" s="28"/>
      <c r="Q268" s="28"/>
      <c r="R268" s="28"/>
    </row>
    <row r="269" ht="16.5" spans="1:18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8"/>
      <c r="L269" s="28"/>
      <c r="M269" s="28"/>
      <c r="N269" s="28"/>
      <c r="O269" s="28"/>
      <c r="P269" s="28"/>
      <c r="Q269" s="28"/>
      <c r="R269" s="28"/>
    </row>
    <row r="270" ht="16.5" spans="1:18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8"/>
      <c r="L270" s="28"/>
      <c r="M270" s="28"/>
      <c r="N270" s="28"/>
      <c r="O270" s="28"/>
      <c r="P270" s="28"/>
      <c r="Q270" s="28"/>
      <c r="R270" s="28"/>
    </row>
    <row r="271" ht="16.5" spans="1:18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8"/>
      <c r="L271" s="28"/>
      <c r="M271" s="28"/>
      <c r="N271" s="28"/>
      <c r="O271" s="28"/>
      <c r="P271" s="28"/>
      <c r="Q271" s="28"/>
      <c r="R271" s="28"/>
    </row>
    <row r="272" ht="16.5" spans="1:18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8"/>
      <c r="L272" s="28"/>
      <c r="M272" s="28"/>
      <c r="N272" s="28"/>
      <c r="O272" s="28"/>
      <c r="P272" s="28"/>
      <c r="Q272" s="28"/>
      <c r="R272" s="28"/>
    </row>
    <row r="273" ht="16.5" spans="1:18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8"/>
      <c r="L273" s="28"/>
      <c r="M273" s="28"/>
      <c r="N273" s="28"/>
      <c r="O273" s="28"/>
      <c r="P273" s="28"/>
      <c r="Q273" s="28"/>
      <c r="R273" s="28"/>
    </row>
    <row r="274" ht="16.5" spans="1:18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8"/>
      <c r="L274" s="28"/>
      <c r="M274" s="28"/>
      <c r="N274" s="28"/>
      <c r="O274" s="28"/>
      <c r="P274" s="28"/>
      <c r="Q274" s="28"/>
      <c r="R274" s="28"/>
    </row>
    <row r="275" ht="16.5" spans="1:18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8"/>
      <c r="L275" s="28"/>
      <c r="M275" s="28"/>
      <c r="N275" s="28"/>
      <c r="O275" s="28"/>
      <c r="P275" s="28"/>
      <c r="Q275" s="28"/>
      <c r="R275" s="28"/>
    </row>
    <row r="276" ht="16.5" spans="1:18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8"/>
      <c r="L276" s="28"/>
      <c r="M276" s="28"/>
      <c r="N276" s="28"/>
      <c r="O276" s="28"/>
      <c r="P276" s="28"/>
      <c r="Q276" s="28"/>
      <c r="R276" s="28"/>
    </row>
    <row r="277" ht="16.5" spans="1:18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8"/>
      <c r="L277" s="28"/>
      <c r="M277" s="28"/>
      <c r="N277" s="28"/>
      <c r="O277" s="28"/>
      <c r="P277" s="28"/>
      <c r="Q277" s="28"/>
      <c r="R277" s="28"/>
    </row>
    <row r="278" ht="16.5" spans="1:1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8"/>
      <c r="L278" s="28"/>
      <c r="M278" s="28"/>
      <c r="N278" s="28"/>
      <c r="O278" s="28"/>
      <c r="P278" s="28"/>
      <c r="Q278" s="28"/>
      <c r="R278" s="28"/>
    </row>
    <row r="279" ht="16.5" spans="1:18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8"/>
      <c r="L279" s="28"/>
      <c r="M279" s="28"/>
      <c r="N279" s="28"/>
      <c r="O279" s="28"/>
      <c r="P279" s="28"/>
      <c r="Q279" s="28"/>
      <c r="R279" s="28"/>
    </row>
    <row r="280" ht="16.5" spans="1:18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8"/>
      <c r="L280" s="28"/>
      <c r="M280" s="28"/>
      <c r="N280" s="28"/>
      <c r="O280" s="28"/>
      <c r="P280" s="28"/>
      <c r="Q280" s="28"/>
      <c r="R280" s="28"/>
    </row>
    <row r="281" ht="16.5" spans="1:18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8"/>
      <c r="L281" s="28"/>
      <c r="M281" s="28"/>
      <c r="N281" s="28"/>
      <c r="O281" s="28"/>
      <c r="P281" s="28"/>
      <c r="Q281" s="28"/>
      <c r="R281" s="28"/>
    </row>
    <row r="282" ht="16.5" spans="1:18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8"/>
      <c r="L282" s="28"/>
      <c r="M282" s="28"/>
      <c r="N282" s="28"/>
      <c r="O282" s="28"/>
      <c r="P282" s="28"/>
      <c r="Q282" s="28"/>
      <c r="R282" s="28"/>
    </row>
    <row r="283" ht="16.5" spans="1:18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8"/>
      <c r="L283" s="28"/>
      <c r="M283" s="28"/>
      <c r="N283" s="28"/>
      <c r="O283" s="28"/>
      <c r="P283" s="28"/>
      <c r="Q283" s="28"/>
      <c r="R283" s="28"/>
    </row>
    <row r="284" ht="16.5" spans="1:18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8"/>
      <c r="L284" s="28"/>
      <c r="M284" s="28"/>
      <c r="N284" s="28"/>
      <c r="O284" s="28"/>
      <c r="P284" s="28"/>
      <c r="Q284" s="28"/>
      <c r="R284" s="28"/>
    </row>
    <row r="285" ht="16.5" spans="1:18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8"/>
      <c r="L285" s="28"/>
      <c r="M285" s="28"/>
      <c r="N285" s="28"/>
      <c r="O285" s="28"/>
      <c r="P285" s="28"/>
      <c r="Q285" s="28"/>
      <c r="R285" s="28"/>
    </row>
    <row r="286" ht="16.5" spans="1:18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8"/>
      <c r="L286" s="28"/>
      <c r="M286" s="28"/>
      <c r="N286" s="28"/>
      <c r="O286" s="28"/>
      <c r="P286" s="28"/>
      <c r="Q286" s="28"/>
      <c r="R286" s="28"/>
    </row>
    <row r="287" ht="16.5" spans="1:18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8"/>
      <c r="L287" s="28"/>
      <c r="M287" s="28"/>
      <c r="N287" s="28"/>
      <c r="O287" s="28"/>
      <c r="P287" s="28"/>
      <c r="Q287" s="28"/>
      <c r="R287" s="28"/>
    </row>
    <row r="288" ht="16.5" spans="1:1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8"/>
      <c r="L288" s="28"/>
      <c r="M288" s="28"/>
      <c r="N288" s="28"/>
      <c r="O288" s="28"/>
      <c r="P288" s="28"/>
      <c r="Q288" s="28"/>
      <c r="R288" s="28"/>
    </row>
    <row r="289" ht="16.5" spans="1:18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8"/>
      <c r="L289" s="28"/>
      <c r="M289" s="28"/>
      <c r="N289" s="28"/>
      <c r="O289" s="28"/>
      <c r="P289" s="28"/>
      <c r="Q289" s="28"/>
      <c r="R289" s="28"/>
    </row>
    <row r="290" ht="16.5" spans="1:18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8"/>
      <c r="L290" s="28"/>
      <c r="M290" s="28"/>
      <c r="N290" s="28"/>
      <c r="O290" s="28"/>
      <c r="P290" s="28"/>
      <c r="Q290" s="28"/>
      <c r="R290" s="28"/>
    </row>
    <row r="291" ht="16.5" spans="1:18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8"/>
      <c r="L291" s="28"/>
      <c r="M291" s="28"/>
      <c r="N291" s="28"/>
      <c r="O291" s="28"/>
      <c r="P291" s="28"/>
      <c r="Q291" s="28"/>
      <c r="R291" s="28"/>
    </row>
    <row r="292" ht="16.5" spans="1:18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8"/>
      <c r="L292" s="28"/>
      <c r="M292" s="28"/>
      <c r="N292" s="28"/>
      <c r="O292" s="28"/>
      <c r="P292" s="28"/>
      <c r="Q292" s="28"/>
      <c r="R292" s="28"/>
    </row>
    <row r="293" ht="16.5" spans="1:18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8"/>
      <c r="L293" s="28"/>
      <c r="M293" s="28"/>
      <c r="N293" s="28"/>
      <c r="O293" s="28"/>
      <c r="P293" s="28"/>
      <c r="Q293" s="28"/>
      <c r="R293" s="28"/>
    </row>
    <row r="294" ht="16.5" spans="1:18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8"/>
      <c r="L294" s="28"/>
      <c r="M294" s="28"/>
      <c r="N294" s="28"/>
      <c r="O294" s="28"/>
      <c r="P294" s="28"/>
      <c r="Q294" s="28"/>
      <c r="R294" s="28"/>
    </row>
    <row r="295" ht="16.5" spans="1:18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8"/>
      <c r="L295" s="28"/>
      <c r="M295" s="28"/>
      <c r="N295" s="28"/>
      <c r="O295" s="28"/>
      <c r="P295" s="28"/>
      <c r="Q295" s="28"/>
      <c r="R295" s="28"/>
    </row>
    <row r="296" ht="16.5" spans="1:18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8"/>
      <c r="L296" s="28"/>
      <c r="M296" s="28"/>
      <c r="N296" s="28"/>
      <c r="O296" s="28"/>
      <c r="P296" s="28"/>
      <c r="Q296" s="28"/>
      <c r="R296" s="28"/>
    </row>
    <row r="297" ht="16.5" spans="1:18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8"/>
      <c r="L297" s="28"/>
      <c r="M297" s="28"/>
      <c r="N297" s="28"/>
      <c r="O297" s="28"/>
      <c r="P297" s="28"/>
      <c r="Q297" s="28"/>
      <c r="R297" s="28"/>
    </row>
    <row r="298" ht="16.5" spans="1:1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8"/>
      <c r="L298" s="28"/>
      <c r="M298" s="28"/>
      <c r="N298" s="28"/>
      <c r="O298" s="28"/>
      <c r="P298" s="28"/>
      <c r="Q298" s="28"/>
      <c r="R298" s="28"/>
    </row>
    <row r="299" ht="16.5" spans="1:18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8"/>
      <c r="L299" s="28"/>
      <c r="M299" s="28"/>
      <c r="N299" s="28"/>
      <c r="O299" s="28"/>
      <c r="P299" s="28"/>
      <c r="Q299" s="28"/>
      <c r="R299" s="28"/>
    </row>
    <row r="300" ht="16.5" spans="1:18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8"/>
      <c r="L300" s="28"/>
      <c r="M300" s="28"/>
      <c r="N300" s="28"/>
      <c r="O300" s="28"/>
      <c r="P300" s="28"/>
      <c r="Q300" s="28"/>
      <c r="R300" s="28"/>
    </row>
    <row r="301" ht="16.5" spans="1:18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8"/>
      <c r="L301" s="28"/>
      <c r="M301" s="28"/>
      <c r="N301" s="28"/>
      <c r="O301" s="28"/>
      <c r="P301" s="28"/>
      <c r="Q301" s="28"/>
      <c r="R301" s="28"/>
    </row>
    <row r="302" ht="16.5" spans="1:18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8"/>
      <c r="L302" s="28"/>
      <c r="M302" s="28"/>
      <c r="N302" s="28"/>
      <c r="O302" s="28"/>
      <c r="P302" s="28"/>
      <c r="Q302" s="28"/>
      <c r="R302" s="28"/>
    </row>
    <row r="303" ht="16.5" spans="1:18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8"/>
      <c r="L303" s="28"/>
      <c r="M303" s="28"/>
      <c r="N303" s="28"/>
      <c r="O303" s="28"/>
      <c r="P303" s="28"/>
      <c r="Q303" s="28"/>
      <c r="R303" s="28"/>
    </row>
    <row r="304" ht="16.5" spans="1:18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8"/>
      <c r="L304" s="28"/>
      <c r="M304" s="28"/>
      <c r="N304" s="28"/>
      <c r="O304" s="28"/>
      <c r="P304" s="28"/>
      <c r="Q304" s="28"/>
      <c r="R304" s="28"/>
    </row>
    <row r="305" ht="16.5" spans="1:18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8"/>
      <c r="L305" s="28"/>
      <c r="M305" s="28"/>
      <c r="N305" s="28"/>
      <c r="O305" s="28"/>
      <c r="P305" s="28"/>
      <c r="Q305" s="28"/>
      <c r="R305" s="28"/>
    </row>
    <row r="306" ht="16.5" spans="1:18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8"/>
      <c r="L306" s="28"/>
      <c r="M306" s="28"/>
      <c r="N306" s="28"/>
      <c r="O306" s="28"/>
      <c r="P306" s="28"/>
      <c r="Q306" s="28"/>
      <c r="R306" s="28"/>
    </row>
    <row r="307" ht="16.5" spans="1:18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8"/>
      <c r="L307" s="28"/>
      <c r="M307" s="28"/>
      <c r="N307" s="28"/>
      <c r="O307" s="28"/>
      <c r="P307" s="28"/>
      <c r="Q307" s="28"/>
      <c r="R307" s="28"/>
    </row>
    <row r="308" ht="16.5" spans="1:1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8"/>
      <c r="L308" s="28"/>
      <c r="M308" s="28"/>
      <c r="N308" s="28"/>
      <c r="O308" s="28"/>
      <c r="P308" s="28"/>
      <c r="Q308" s="28"/>
      <c r="R308" s="28"/>
    </row>
    <row r="309" ht="16.5" spans="1:18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8"/>
      <c r="L309" s="28"/>
      <c r="M309" s="28"/>
      <c r="N309" s="28"/>
      <c r="O309" s="28"/>
      <c r="P309" s="28"/>
      <c r="Q309" s="28"/>
      <c r="R309" s="28"/>
    </row>
    <row r="310" ht="16.5" spans="1:18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8"/>
      <c r="L310" s="28"/>
      <c r="M310" s="28"/>
      <c r="N310" s="28"/>
      <c r="O310" s="28"/>
      <c r="P310" s="28"/>
      <c r="Q310" s="28"/>
      <c r="R310" s="28"/>
    </row>
    <row r="311" ht="16.5" spans="1:18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8"/>
      <c r="L311" s="28"/>
      <c r="M311" s="28"/>
      <c r="N311" s="28"/>
      <c r="O311" s="28"/>
      <c r="P311" s="28"/>
      <c r="Q311" s="28"/>
      <c r="R311" s="28"/>
    </row>
    <row r="312" ht="16.5" spans="1:18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8"/>
      <c r="L312" s="28"/>
      <c r="M312" s="28"/>
      <c r="N312" s="28"/>
      <c r="O312" s="28"/>
      <c r="P312" s="28"/>
      <c r="Q312" s="28"/>
      <c r="R312" s="28"/>
    </row>
    <row r="313" ht="16.5" spans="1:18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8"/>
      <c r="L313" s="28"/>
      <c r="M313" s="28"/>
      <c r="N313" s="28"/>
      <c r="O313" s="28"/>
      <c r="P313" s="28"/>
      <c r="Q313" s="28"/>
      <c r="R313" s="28"/>
    </row>
    <row r="314" ht="16.5" spans="1:18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8"/>
      <c r="L314" s="28"/>
      <c r="M314" s="28"/>
      <c r="N314" s="28"/>
      <c r="O314" s="28"/>
      <c r="P314" s="28"/>
      <c r="Q314" s="28"/>
      <c r="R314" s="28"/>
    </row>
    <row r="315" ht="16.5" spans="1:18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8"/>
      <c r="L315" s="28"/>
      <c r="M315" s="28"/>
      <c r="N315" s="28"/>
      <c r="O315" s="28"/>
      <c r="P315" s="28"/>
      <c r="Q315" s="28"/>
      <c r="R315" s="28"/>
    </row>
    <row r="316" ht="16.5" spans="1:18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8"/>
      <c r="L316" s="28"/>
      <c r="M316" s="28"/>
      <c r="N316" s="28"/>
      <c r="O316" s="28"/>
      <c r="P316" s="28"/>
      <c r="Q316" s="28"/>
      <c r="R316" s="28"/>
    </row>
    <row r="317" ht="16.5" spans="1:18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8"/>
      <c r="L317" s="28"/>
      <c r="M317" s="28"/>
      <c r="N317" s="28"/>
      <c r="O317" s="28"/>
      <c r="P317" s="28"/>
      <c r="Q317" s="28"/>
      <c r="R317" s="28"/>
    </row>
    <row r="318" ht="16.5" spans="1: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8"/>
      <c r="L318" s="28"/>
      <c r="M318" s="28"/>
      <c r="N318" s="28"/>
      <c r="O318" s="28"/>
      <c r="P318" s="28"/>
      <c r="Q318" s="28"/>
      <c r="R318" s="28"/>
    </row>
    <row r="319" ht="16.5" spans="1:18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8"/>
      <c r="L319" s="28"/>
      <c r="M319" s="28"/>
      <c r="N319" s="28"/>
      <c r="O319" s="28"/>
      <c r="P319" s="28"/>
      <c r="Q319" s="28"/>
      <c r="R319" s="28"/>
    </row>
    <row r="320" ht="16.5" spans="1:18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8"/>
      <c r="L320" s="28"/>
      <c r="M320" s="28"/>
      <c r="N320" s="28"/>
      <c r="O320" s="28"/>
      <c r="P320" s="28"/>
      <c r="Q320" s="28"/>
      <c r="R320" s="28"/>
    </row>
    <row r="321" ht="16.5" spans="1:18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8"/>
      <c r="L321" s="28"/>
      <c r="M321" s="28"/>
      <c r="N321" s="28"/>
      <c r="O321" s="28"/>
      <c r="P321" s="28"/>
      <c r="Q321" s="28"/>
      <c r="R321" s="28"/>
    </row>
    <row r="322" ht="16.5" spans="1:18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8"/>
      <c r="L322" s="28"/>
      <c r="M322" s="28"/>
      <c r="N322" s="28"/>
      <c r="O322" s="28"/>
      <c r="P322" s="28"/>
      <c r="Q322" s="28"/>
      <c r="R322" s="28"/>
    </row>
    <row r="323" ht="16.5" spans="1:18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8"/>
      <c r="L323" s="28"/>
      <c r="M323" s="28"/>
      <c r="N323" s="28"/>
      <c r="O323" s="28"/>
      <c r="P323" s="28"/>
      <c r="Q323" s="28"/>
      <c r="R323" s="28"/>
    </row>
    <row r="324" ht="16.5" spans="1:18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8"/>
      <c r="L324" s="28"/>
      <c r="M324" s="28"/>
      <c r="N324" s="28"/>
      <c r="O324" s="28"/>
      <c r="P324" s="28"/>
      <c r="Q324" s="28"/>
      <c r="R324" s="28"/>
    </row>
    <row r="325" ht="16.5" spans="1:18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8"/>
      <c r="L325" s="28"/>
      <c r="M325" s="28"/>
      <c r="N325" s="28"/>
      <c r="O325" s="28"/>
      <c r="P325" s="28"/>
      <c r="Q325" s="28"/>
      <c r="R325" s="28"/>
    </row>
    <row r="326" ht="16.5" spans="1:18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8"/>
      <c r="L326" s="28"/>
      <c r="M326" s="28"/>
      <c r="N326" s="28"/>
      <c r="O326" s="28"/>
      <c r="P326" s="28"/>
      <c r="Q326" s="28"/>
      <c r="R326" s="28"/>
    </row>
    <row r="327" ht="16.5" spans="1:18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8"/>
      <c r="L327" s="28"/>
      <c r="M327" s="28"/>
      <c r="N327" s="28"/>
      <c r="O327" s="28"/>
      <c r="P327" s="28"/>
      <c r="Q327" s="28"/>
      <c r="R327" s="28"/>
    </row>
    <row r="328" ht="16.5" spans="1:1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8"/>
      <c r="L328" s="28"/>
      <c r="M328" s="28"/>
      <c r="N328" s="28"/>
      <c r="O328" s="28"/>
      <c r="P328" s="28"/>
      <c r="Q328" s="28"/>
      <c r="R328" s="28"/>
    </row>
    <row r="329" ht="16.5" spans="1:18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8"/>
      <c r="L329" s="28"/>
      <c r="M329" s="28"/>
      <c r="N329" s="28"/>
      <c r="O329" s="28"/>
      <c r="P329" s="28"/>
      <c r="Q329" s="28"/>
      <c r="R329" s="28"/>
    </row>
    <row r="330" ht="16.5" spans="1:18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</row>
    <row r="331" ht="16.5" spans="1:18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</row>
    <row r="332" ht="16.5" spans="1:18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</row>
    <row r="333" ht="16.5" spans="1:18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</row>
    <row r="334" ht="16.5" spans="1:18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</row>
    <row r="335" ht="16.5" spans="1:18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</row>
    <row r="336" ht="16.5" spans="1:18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</row>
    <row r="337" ht="16.5" spans="1:18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</row>
    <row r="338" ht="16.5" spans="1:1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</row>
    <row r="339" ht="16.5" spans="1:18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</row>
    <row r="340" ht="16.5" spans="1:18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</row>
    <row r="341" ht="16.5" spans="1:18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</row>
    <row r="342" ht="16.5" spans="1:18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</row>
    <row r="343" ht="16.5" spans="1:18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</row>
    <row r="344" ht="16.5" spans="1:18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</row>
    <row r="345" ht="16.5" spans="1:18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</row>
    <row r="346" ht="16.5" spans="1:18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</row>
    <row r="347" ht="16.5" spans="1:18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</row>
    <row r="348" ht="16.5" spans="1:1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</row>
    <row r="349" ht="16.5" spans="1:18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</row>
    <row r="350" ht="16.5" spans="1:18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</row>
    <row r="351" ht="16.5" spans="1:18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</row>
    <row r="352" ht="16.5" spans="1:18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</row>
    <row r="353" ht="16.5" spans="1:18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</row>
    <row r="354" ht="16.5" spans="1:18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</row>
    <row r="355" ht="16.5" spans="1:18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</row>
    <row r="356" ht="16.5" spans="1:18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</row>
    <row r="357" ht="16.5" spans="1:18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</row>
    <row r="358" ht="16.5" spans="1:1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</row>
    <row r="359" ht="16.5" spans="1:18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</row>
    <row r="360" ht="16.5" spans="1:18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</row>
    <row r="361" ht="16.5" spans="1:18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</row>
    <row r="362" ht="16.5" spans="1:18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</row>
    <row r="363" ht="16.5" spans="1:18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</row>
    <row r="364" ht="16.5" spans="1:18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</row>
    <row r="365" ht="16.5" spans="1:18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</row>
    <row r="366" ht="16.5" spans="1:18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</row>
    <row r="367" ht="16.5" spans="1:18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</row>
    <row r="368" ht="16.5" spans="1:18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</row>
    <row r="369" ht="16.5" spans="1:18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</row>
    <row r="370" ht="16.5" spans="1:18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</row>
    <row r="371" ht="16.5" spans="1:18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</row>
    <row r="372" ht="16.5" spans="1:18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</row>
    <row r="373" ht="16.5" spans="1:18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</row>
    <row r="374" ht="16.5" spans="1:18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</row>
    <row r="375" ht="16.5" spans="1:18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</row>
    <row r="376" ht="16.5" spans="1:18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</row>
    <row r="377" ht="16.5" spans="1:18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</row>
    <row r="378" ht="16.5" spans="1:18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</row>
    <row r="379" ht="16.5" spans="1:18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</row>
    <row r="380" ht="16.5" spans="1:18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</row>
    <row r="381" ht="16.5" spans="1:18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</row>
    <row r="382" ht="16.5" spans="1:18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</row>
    <row r="383" ht="16.5" spans="1:18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</row>
    <row r="384" ht="16.5" spans="1:18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</row>
    <row r="385" ht="16.5" spans="1:18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</row>
    <row r="386" ht="16.5" spans="1:18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</row>
    <row r="387" ht="16.5" spans="1:18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</row>
    <row r="388" ht="16.5" spans="1:18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</row>
    <row r="389" ht="16.5" spans="1:18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</row>
    <row r="390" ht="16.5" spans="1:18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</row>
    <row r="391" ht="16.5" spans="1:18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</row>
    <row r="392" ht="16.5" spans="1:18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</row>
    <row r="393" ht="16.5" spans="1:18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</row>
    <row r="394" ht="16.5" spans="1:18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</row>
    <row r="395" ht="16.5" spans="1:18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</row>
    <row r="396" ht="16.5" spans="1:18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</row>
    <row r="397" ht="16.5" spans="1:18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</row>
    <row r="398" ht="16.5" spans="1:1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</row>
    <row r="399" ht="16.5" spans="1:18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</row>
    <row r="400" ht="16.5" spans="1:18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</row>
    <row r="401" ht="16.5" spans="1:18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</row>
    <row r="402" ht="16.5" spans="1:18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</row>
    <row r="403" ht="16.5" spans="1:18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</row>
    <row r="404" ht="16.5" spans="1:18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</row>
    <row r="405" ht="16.5" spans="1:18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</row>
    <row r="406" ht="16.5" spans="1:18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</row>
    <row r="407" ht="16.5" spans="1:18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</row>
    <row r="408" ht="16.5" spans="1:1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</row>
    <row r="409" ht="16.5" spans="1:18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</row>
    <row r="410" ht="16.5" spans="1:18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</row>
    <row r="411" ht="16.5" spans="1:18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</row>
    <row r="412" ht="16.5" spans="1:18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</row>
    <row r="413" ht="16.5" spans="1:18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</row>
    <row r="414" ht="16.5" spans="1:18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</row>
    <row r="415" ht="16.5" spans="1:18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</row>
    <row r="416" ht="16.5" spans="1:18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</row>
    <row r="417" ht="16.5" spans="1:18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</row>
    <row r="418" ht="16.5" spans="1: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</row>
    <row r="419" ht="16.5" spans="1:18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</row>
    <row r="420" ht="16.5" spans="1:18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</row>
    <row r="421" ht="16.5" spans="1:18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</row>
    <row r="422" ht="16.5" spans="1:18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</row>
    <row r="423" ht="16.5" spans="1:18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</row>
    <row r="424" ht="16.5" spans="1:18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</row>
    <row r="425" ht="16.5" spans="1:18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</row>
    <row r="426" ht="16.5" spans="1:18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</row>
    <row r="427" ht="16.5" spans="1:18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</row>
    <row r="428" ht="16.5" spans="1:1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</row>
    <row r="429" ht="16.5" spans="1:18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</row>
    <row r="430" ht="16.5" spans="1:18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</row>
    <row r="431" ht="16.5" spans="1:18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</row>
    <row r="432" ht="16.5" spans="1:18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</row>
    <row r="433" ht="16.5" spans="1:18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</row>
    <row r="434" ht="16.5" spans="1:18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</row>
    <row r="435" ht="16.5" spans="1:18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</row>
    <row r="436" ht="16.5" spans="1:18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</row>
    <row r="437" ht="16.5" spans="1:18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</row>
    <row r="438" ht="16.5" spans="1:1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</row>
    <row r="439" ht="16.5" spans="1:18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</row>
    <row r="440" ht="16.5" spans="1:18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</row>
    <row r="441" ht="16.5" spans="1:18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</row>
    <row r="442" ht="16.5" spans="1:18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</row>
    <row r="443" ht="16.5" spans="1:18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</row>
    <row r="444" ht="16.5" spans="1:18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</row>
    <row r="445" ht="16.5" spans="1:18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</row>
    <row r="446" ht="16.5" spans="1:18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</row>
    <row r="447" ht="16.5" spans="1:18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</row>
    <row r="448" ht="16.5" spans="1:1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</row>
    <row r="449" ht="16.5" spans="1:18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</row>
    <row r="450" ht="16.5" spans="1:18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</row>
    <row r="451" ht="16.5" spans="1:18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</row>
    <row r="452" ht="16.5" spans="1:18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</row>
    <row r="453" ht="16.5" spans="1:18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</row>
    <row r="454" ht="16.5" spans="1:18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</row>
    <row r="455" ht="16.5" spans="1:18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</row>
    <row r="456" ht="16.5" spans="1:18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</row>
    <row r="457" ht="16.5" spans="1:18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</row>
    <row r="458" ht="16.5" spans="1:1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</row>
    <row r="459" ht="16.5" spans="1:18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</row>
    <row r="460" ht="16.5" spans="1:18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</row>
    <row r="461" ht="16.5" spans="1:18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</row>
    <row r="462" ht="16.5" spans="1:18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</row>
    <row r="463" ht="16.5" spans="1:18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</row>
    <row r="464" ht="16.5" spans="1:18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</row>
    <row r="465" ht="16.5" spans="1:18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</row>
    <row r="466" ht="16.5" spans="1:18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</row>
    <row r="467" ht="16.5" spans="1:18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</row>
    <row r="468" ht="16.5" spans="1:1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</row>
    <row r="469" ht="16.5" spans="1:18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</row>
    <row r="470" ht="16.5" spans="1:18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</row>
    <row r="471" ht="16.5" spans="1:18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</row>
    <row r="472" ht="16.5" spans="1:18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</row>
    <row r="473" ht="16.5" spans="1:18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</row>
    <row r="474" ht="16.5" spans="1:18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</row>
    <row r="475" ht="16.5" spans="1:18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</row>
    <row r="476" ht="16.5" spans="1:18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</row>
    <row r="477" ht="16.5" spans="1:18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</row>
    <row r="478" ht="16.5" spans="1:1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</row>
    <row r="479" ht="16.5" spans="1:18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</row>
    <row r="480" ht="16.5" spans="1:18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</row>
    <row r="481" ht="16.5" spans="1:18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</row>
    <row r="482" ht="16.5" spans="1:18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</row>
    <row r="483" ht="16.5" spans="1:18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</row>
    <row r="484" ht="16.5" spans="1:18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</row>
    <row r="485" ht="16.5" spans="1:18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</row>
    <row r="486" ht="16.5" spans="1:18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</row>
    <row r="487" ht="16.5" spans="1:18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</row>
    <row r="488" ht="16.5" spans="1:1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</row>
    <row r="489" ht="16.5" spans="1:18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</row>
    <row r="490" ht="16.5" spans="1:18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</row>
    <row r="491" ht="16.5" spans="1:18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</row>
    <row r="492" ht="16.5" spans="1:18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</row>
    <row r="493" ht="16.5" spans="1:18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</row>
    <row r="494" ht="16.5" spans="1:18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</row>
    <row r="495" ht="16.5" spans="1:18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</row>
    <row r="496" ht="16.5" spans="1:18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</row>
    <row r="497" ht="16.5" spans="1:18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</row>
    <row r="498" ht="16.5" spans="1:1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</row>
    <row r="499" ht="16.5" spans="1:18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</row>
    <row r="500" ht="16.5" spans="1:18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</row>
    <row r="501" ht="16.5" spans="1:18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</row>
    <row r="502" ht="16.5" spans="1:18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</row>
    <row r="503" ht="16.5" spans="1:18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</row>
    <row r="504" ht="16.5" spans="1:18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</row>
    <row r="505" ht="16.5" spans="1:18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</row>
    <row r="506" ht="16.5" spans="1:18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</row>
    <row r="507" ht="16.5" spans="1:18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</row>
    <row r="508" ht="16.5" spans="1:1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</row>
    <row r="509" ht="16.5" spans="1:18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</row>
    <row r="510" ht="16.5" spans="1:18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</row>
    <row r="511" ht="16.5" spans="1:18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</row>
    <row r="512" ht="16.5" spans="1:18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</row>
    <row r="513" ht="16.5" spans="1:18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</row>
    <row r="514" ht="16.5" spans="1:18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</row>
    <row r="515" ht="16.5" spans="1:18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</row>
    <row r="516" ht="16.5" spans="1:18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</row>
    <row r="517" ht="16.5" spans="1:18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</row>
    <row r="518" ht="16.5" spans="1: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</row>
    <row r="519" ht="16.5" spans="1:18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</row>
    <row r="520" ht="16.5" spans="1:18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</row>
    <row r="521" ht="16.5" spans="1:18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</row>
    <row r="522" ht="16.5" spans="1:18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</row>
    <row r="523" ht="16.5" spans="1:18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</row>
    <row r="524" ht="16.5" spans="1:18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</row>
    <row r="525" ht="16.5" spans="1:18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</row>
    <row r="526" ht="16.5" spans="1:18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</row>
    <row r="527" ht="16.5" spans="1:18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</row>
    <row r="528" ht="16.5" spans="1:1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</row>
    <row r="529" ht="16.5" spans="1:18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</row>
    <row r="530" ht="16.5" spans="1:18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</row>
    <row r="531" ht="16.5" spans="1:18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</row>
    <row r="532" ht="16.5" spans="1:18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</row>
    <row r="533" ht="16.5" spans="1:18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</row>
    <row r="534" ht="16.5" spans="1:18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</row>
    <row r="535" ht="16.5" spans="1:18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</row>
    <row r="536" ht="16.5" spans="1:18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</row>
    <row r="537" ht="16.5" spans="1:18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</row>
    <row r="538" ht="16.5" spans="1:1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</row>
    <row r="539" ht="16.5" spans="1:18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</row>
    <row r="540" ht="16.5" spans="1:18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</row>
    <row r="541" ht="16.5" spans="1:18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</row>
    <row r="542" ht="16.5" spans="1:18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</row>
    <row r="543" ht="16.5" spans="1:18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</row>
    <row r="544" ht="16.5" spans="1:18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</row>
    <row r="545" ht="16.5" spans="1:18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</row>
    <row r="546" ht="16.5" spans="1:18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</row>
    <row r="547" ht="16.5" spans="1:18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</row>
    <row r="548" ht="16.5" spans="1:1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</row>
    <row r="549" ht="16.5" spans="1:18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</row>
    <row r="550" ht="16.5" spans="1:18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</row>
    <row r="551" ht="16.5" spans="1:18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</row>
    <row r="552" ht="16.5" spans="1:18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</row>
    <row r="553" ht="16.5" spans="1:18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</row>
    <row r="554" ht="16.5" spans="1:18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</row>
    <row r="555" ht="16.5" spans="1:18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</row>
    <row r="556" ht="16.5" spans="1:18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</row>
    <row r="557" ht="16.5" spans="1:18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8"/>
      <c r="L557" s="28"/>
      <c r="M557" s="28"/>
      <c r="N557" s="28"/>
      <c r="O557" s="28"/>
      <c r="P557" s="28"/>
      <c r="Q557" s="28"/>
      <c r="R557" s="28"/>
    </row>
    <row r="558" ht="16.5" spans="1:1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8"/>
      <c r="L558" s="28"/>
      <c r="M558" s="28"/>
      <c r="N558" s="28"/>
      <c r="O558" s="28"/>
      <c r="P558" s="28"/>
      <c r="Q558" s="28"/>
      <c r="R558" s="28"/>
    </row>
    <row r="559" ht="16.5" spans="1:18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</row>
    <row r="560" ht="16.5" spans="1:18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8"/>
      <c r="L560" s="28"/>
      <c r="M560" s="28"/>
      <c r="N560" s="28"/>
      <c r="O560" s="28"/>
      <c r="P560" s="28"/>
      <c r="Q560" s="28"/>
      <c r="R560" s="28"/>
    </row>
    <row r="561" ht="16.5" spans="1:18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8"/>
      <c r="L561" s="28"/>
      <c r="M561" s="28"/>
      <c r="N561" s="28"/>
      <c r="O561" s="28"/>
      <c r="P561" s="28"/>
      <c r="Q561" s="28"/>
      <c r="R561" s="28"/>
    </row>
    <row r="562" ht="16.5" spans="1:18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</row>
    <row r="563" ht="16.5" spans="1:18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8"/>
      <c r="L563" s="28"/>
      <c r="M563" s="28"/>
      <c r="N563" s="28"/>
      <c r="O563" s="28"/>
      <c r="P563" s="28"/>
      <c r="Q563" s="28"/>
      <c r="R563" s="28"/>
    </row>
    <row r="564" ht="16.5" spans="1:18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</row>
    <row r="565" ht="16.5" spans="1:18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</row>
    <row r="566" ht="16.5" spans="1:18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</row>
    <row r="567" ht="16.5" spans="1:18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</row>
    <row r="568" ht="16.5" spans="1:1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</row>
    <row r="569" ht="16.5" spans="1:18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</row>
    <row r="570" ht="16.5" spans="1:18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</row>
    <row r="571" ht="16.5" spans="1:18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</row>
    <row r="572" ht="16.5" spans="1:18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</row>
    <row r="573" ht="16.5" spans="1:18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</row>
    <row r="574" ht="16.5" spans="1:18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</row>
    <row r="575" ht="16.5" spans="1:18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</row>
    <row r="576" ht="16.5" spans="1:18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</row>
    <row r="577" ht="16.5" spans="1:18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</row>
    <row r="578" ht="16.5" spans="1:1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</row>
    <row r="579" ht="16.5" spans="1:18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</row>
    <row r="580" ht="16.5" spans="1:18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</row>
    <row r="581" ht="16.5" spans="1:18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</row>
    <row r="582" ht="16.5" spans="1:18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</row>
    <row r="583" ht="16.5" spans="1:18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</row>
    <row r="584" ht="16.5" spans="1:18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</row>
    <row r="585" ht="16.5" spans="1:18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</row>
    <row r="586" ht="16.5" spans="1:18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39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486</v>
      </c>
      <c r="B1" s="2"/>
      <c r="C1" s="2"/>
      <c r="D1" s="2"/>
      <c r="E1" s="2"/>
      <c r="F1" s="2"/>
      <c r="G1" s="2"/>
      <c r="H1" s="2"/>
      <c r="I1" s="2"/>
      <c r="J1" s="2"/>
      <c r="K1" s="13" t="s">
        <v>749</v>
      </c>
      <c r="L1" s="14"/>
      <c r="M1" s="14"/>
      <c r="N1" s="14"/>
      <c r="O1" s="14"/>
      <c r="P1" s="14"/>
      <c r="Q1" s="14"/>
      <c r="R1" s="18"/>
    </row>
    <row r="2" ht="45" spans="1:18">
      <c r="A2" s="3" t="s">
        <v>488</v>
      </c>
      <c r="B2" s="4" t="s">
        <v>489</v>
      </c>
      <c r="C2" s="4" t="s">
        <v>490</v>
      </c>
      <c r="D2" s="4" t="s">
        <v>491</v>
      </c>
      <c r="E2" s="4" t="s">
        <v>492</v>
      </c>
      <c r="F2" s="4" t="s">
        <v>493</v>
      </c>
      <c r="G2" s="4" t="s">
        <v>494</v>
      </c>
      <c r="H2" s="4" t="s">
        <v>495</v>
      </c>
      <c r="I2" s="4" t="s">
        <v>496</v>
      </c>
      <c r="J2" s="4" t="s">
        <v>497</v>
      </c>
      <c r="K2" s="15" t="s">
        <v>498</v>
      </c>
      <c r="L2" s="15" t="s">
        <v>499</v>
      </c>
      <c r="M2" s="15" t="s">
        <v>500</v>
      </c>
      <c r="N2" s="15" t="s">
        <v>501</v>
      </c>
      <c r="O2" s="15" t="s">
        <v>502</v>
      </c>
      <c r="P2" s="15" t="s">
        <v>503</v>
      </c>
      <c r="Q2" s="15" t="s">
        <v>504</v>
      </c>
      <c r="R2" s="15" t="s">
        <v>505</v>
      </c>
    </row>
    <row r="3" ht="20.25" spans="1:18">
      <c r="A3" s="5" t="s">
        <v>750</v>
      </c>
      <c r="B3" s="5" t="s">
        <v>751</v>
      </c>
      <c r="C3" s="5">
        <v>21851.07</v>
      </c>
      <c r="D3" s="5">
        <v>24994.82</v>
      </c>
      <c r="E3" s="5">
        <v>1</v>
      </c>
      <c r="F3" s="6">
        <v>0</v>
      </c>
      <c r="G3" s="6">
        <v>0</v>
      </c>
      <c r="H3" s="6">
        <v>1</v>
      </c>
      <c r="I3" s="6">
        <v>0.419</v>
      </c>
      <c r="J3" s="6">
        <v>12.944</v>
      </c>
      <c r="K3" s="16">
        <v>4</v>
      </c>
      <c r="L3" s="16">
        <v>2</v>
      </c>
      <c r="M3" s="16">
        <v>-1</v>
      </c>
      <c r="N3" s="16">
        <v>1</v>
      </c>
      <c r="O3" s="16">
        <v>0</v>
      </c>
      <c r="P3" s="16">
        <v>27.666</v>
      </c>
      <c r="Q3" s="16">
        <v>0</v>
      </c>
      <c r="R3" s="16">
        <v>0</v>
      </c>
    </row>
    <row r="4" ht="20.25" spans="1:18">
      <c r="A4" s="5" t="s">
        <v>752</v>
      </c>
      <c r="B4" s="5" t="s">
        <v>753</v>
      </c>
      <c r="C4" s="5">
        <v>4507.814</v>
      </c>
      <c r="D4" s="5">
        <v>5199.099</v>
      </c>
      <c r="E4" s="5">
        <v>1</v>
      </c>
      <c r="F4" s="6">
        <v>0</v>
      </c>
      <c r="G4" s="6">
        <v>0</v>
      </c>
      <c r="H4" s="6">
        <v>1</v>
      </c>
      <c r="I4" s="6">
        <v>4.256</v>
      </c>
      <c r="J4" s="6">
        <v>16.986</v>
      </c>
      <c r="K4" s="16">
        <v>2</v>
      </c>
      <c r="L4" s="16">
        <v>1</v>
      </c>
      <c r="M4" s="16">
        <v>-1</v>
      </c>
      <c r="N4" s="16">
        <v>1</v>
      </c>
      <c r="O4" s="16">
        <v>0</v>
      </c>
      <c r="P4" s="16">
        <v>70.407</v>
      </c>
      <c r="Q4" s="16">
        <v>1</v>
      </c>
      <c r="R4" s="16">
        <v>0</v>
      </c>
    </row>
    <row r="5" ht="20.25" spans="1:18">
      <c r="A5" s="5" t="s">
        <v>754</v>
      </c>
      <c r="B5" s="5" t="s">
        <v>755</v>
      </c>
      <c r="C5" s="5">
        <v>4418.945</v>
      </c>
      <c r="D5" s="5">
        <v>5129.838</v>
      </c>
      <c r="E5" s="5">
        <v>1</v>
      </c>
      <c r="F5" s="6">
        <v>0</v>
      </c>
      <c r="G5" s="6">
        <v>0</v>
      </c>
      <c r="H5" s="6">
        <v>1</v>
      </c>
      <c r="I5" s="6">
        <v>4.333</v>
      </c>
      <c r="J5" s="6">
        <v>17.591</v>
      </c>
      <c r="K5" s="16">
        <v>3</v>
      </c>
      <c r="L5" s="16">
        <v>2</v>
      </c>
      <c r="M5" s="16">
        <v>-1</v>
      </c>
      <c r="N5" s="16">
        <v>1</v>
      </c>
      <c r="O5" s="16">
        <v>0</v>
      </c>
      <c r="P5" s="16">
        <v>64.976</v>
      </c>
      <c r="Q5" s="16">
        <v>1</v>
      </c>
      <c r="R5" s="16">
        <v>0</v>
      </c>
    </row>
    <row r="6" ht="20.25" spans="1:18">
      <c r="A6" s="7" t="s">
        <v>756</v>
      </c>
      <c r="B6" s="7" t="s">
        <v>757</v>
      </c>
      <c r="C6" s="7">
        <v>13484.832</v>
      </c>
      <c r="D6" s="7">
        <v>14668.897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0.334</v>
      </c>
      <c r="K6" s="16">
        <v>1</v>
      </c>
      <c r="L6" s="16">
        <v>2</v>
      </c>
      <c r="M6" s="16">
        <v>0</v>
      </c>
      <c r="N6" s="16">
        <v>1</v>
      </c>
      <c r="O6" s="16">
        <v>0</v>
      </c>
      <c r="P6" s="16">
        <v>12.595</v>
      </c>
      <c r="Q6" s="16">
        <v>0</v>
      </c>
      <c r="R6" s="16">
        <v>0</v>
      </c>
    </row>
    <row r="7" ht="20.25" spans="1:18">
      <c r="A7" s="7" t="s">
        <v>758</v>
      </c>
      <c r="B7" s="7" t="s">
        <v>759</v>
      </c>
      <c r="C7" s="7">
        <v>4684.123</v>
      </c>
      <c r="D7" s="7">
        <v>5238.313</v>
      </c>
      <c r="E7" s="7">
        <v>0</v>
      </c>
      <c r="F7" s="7">
        <v>1</v>
      </c>
      <c r="G7" s="6">
        <v>0</v>
      </c>
      <c r="H7" s="6">
        <v>0</v>
      </c>
      <c r="I7" s="6">
        <v>0</v>
      </c>
      <c r="J7" s="6">
        <v>0.697</v>
      </c>
      <c r="K7" s="16">
        <v>0</v>
      </c>
      <c r="L7" s="16">
        <v>2</v>
      </c>
      <c r="M7" s="16">
        <v>0</v>
      </c>
      <c r="N7" s="16">
        <v>1</v>
      </c>
      <c r="O7" s="16">
        <v>0</v>
      </c>
      <c r="P7" s="16">
        <v>11.288</v>
      </c>
      <c r="Q7" s="16">
        <v>0</v>
      </c>
      <c r="R7" s="16">
        <v>0</v>
      </c>
    </row>
    <row r="8" ht="20.25" spans="1:18">
      <c r="A8" s="7" t="s">
        <v>760</v>
      </c>
      <c r="B8" s="7" t="s">
        <v>761</v>
      </c>
      <c r="C8" s="7">
        <v>5542.832</v>
      </c>
      <c r="D8" s="7">
        <v>6605.233</v>
      </c>
      <c r="E8" s="7">
        <v>0</v>
      </c>
      <c r="F8" s="7">
        <v>1</v>
      </c>
      <c r="G8" s="6">
        <v>0</v>
      </c>
      <c r="H8" s="6">
        <v>0</v>
      </c>
      <c r="I8" s="6">
        <v>0</v>
      </c>
      <c r="J8" s="6">
        <v>1.74</v>
      </c>
      <c r="K8" s="16">
        <v>1</v>
      </c>
      <c r="L8" s="16">
        <v>2</v>
      </c>
      <c r="M8" s="16">
        <v>-1</v>
      </c>
      <c r="N8" s="16">
        <v>1</v>
      </c>
      <c r="O8" s="16">
        <v>0</v>
      </c>
      <c r="P8" s="16">
        <v>20.077</v>
      </c>
      <c r="Q8" s="16">
        <v>0</v>
      </c>
      <c r="R8" s="16">
        <v>0</v>
      </c>
    </row>
    <row r="9" ht="20.25" spans="1:18">
      <c r="A9" s="7" t="s">
        <v>762</v>
      </c>
      <c r="B9" s="7" t="s">
        <v>763</v>
      </c>
      <c r="C9" s="7">
        <v>9954.115</v>
      </c>
      <c r="D9" s="7">
        <v>12540.476</v>
      </c>
      <c r="E9" s="7">
        <v>0</v>
      </c>
      <c r="F9" s="7">
        <v>1</v>
      </c>
      <c r="G9" s="6">
        <v>0</v>
      </c>
      <c r="H9" s="6">
        <v>0</v>
      </c>
      <c r="I9" s="6">
        <v>0</v>
      </c>
      <c r="J9" s="6">
        <v>0.509</v>
      </c>
      <c r="K9" s="16">
        <v>1</v>
      </c>
      <c r="L9" s="16">
        <v>0</v>
      </c>
      <c r="M9" s="16">
        <v>0</v>
      </c>
      <c r="N9" s="16">
        <v>1</v>
      </c>
      <c r="O9" s="16">
        <v>0</v>
      </c>
      <c r="P9" s="16">
        <v>52.865</v>
      </c>
      <c r="Q9" s="16">
        <v>0</v>
      </c>
      <c r="R9" s="16">
        <v>0</v>
      </c>
    </row>
    <row r="10" ht="20.25" spans="1:18">
      <c r="A10" s="7" t="s">
        <v>764</v>
      </c>
      <c r="B10" s="7" t="s">
        <v>765</v>
      </c>
      <c r="C10" s="7">
        <v>1588</v>
      </c>
      <c r="D10" s="7">
        <v>2345.161</v>
      </c>
      <c r="E10" s="7">
        <v>0</v>
      </c>
      <c r="F10" s="7">
        <v>1</v>
      </c>
      <c r="G10" s="6">
        <v>0</v>
      </c>
      <c r="H10" s="6">
        <v>0</v>
      </c>
      <c r="I10" s="6">
        <v>0</v>
      </c>
      <c r="J10" s="6">
        <v>1.672</v>
      </c>
      <c r="K10" s="16">
        <v>1</v>
      </c>
      <c r="L10" s="16">
        <v>2</v>
      </c>
      <c r="M10" s="16">
        <v>-1</v>
      </c>
      <c r="N10" s="16">
        <v>1</v>
      </c>
      <c r="O10" s="16">
        <v>0</v>
      </c>
      <c r="P10" s="16">
        <v>11.278</v>
      </c>
      <c r="Q10" s="16">
        <v>0</v>
      </c>
      <c r="R10" s="16">
        <v>0</v>
      </c>
    </row>
    <row r="11" ht="20.25" spans="1:18">
      <c r="A11" s="7" t="s">
        <v>766</v>
      </c>
      <c r="B11" s="7" t="s">
        <v>767</v>
      </c>
      <c r="C11" s="7">
        <v>6383.507</v>
      </c>
      <c r="D11" s="7">
        <v>7826.947</v>
      </c>
      <c r="E11" s="7">
        <v>0</v>
      </c>
      <c r="F11" s="7">
        <v>1</v>
      </c>
      <c r="G11" s="6">
        <v>0</v>
      </c>
      <c r="H11" s="6">
        <v>0</v>
      </c>
      <c r="I11" s="6">
        <v>0</v>
      </c>
      <c r="J11" s="6">
        <v>0.723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10.147</v>
      </c>
      <c r="Q11" s="16">
        <v>0</v>
      </c>
      <c r="R11" s="16">
        <v>0</v>
      </c>
    </row>
    <row r="12" ht="20.25" spans="1:18">
      <c r="A12" s="7" t="s">
        <v>768</v>
      </c>
      <c r="B12" s="7" t="s">
        <v>769</v>
      </c>
      <c r="C12" s="7">
        <v>1843.203</v>
      </c>
      <c r="D12" s="7">
        <v>2095.403</v>
      </c>
      <c r="E12" s="7">
        <v>0</v>
      </c>
      <c r="F12" s="7">
        <v>1</v>
      </c>
      <c r="G12" s="6">
        <v>0</v>
      </c>
      <c r="H12" s="6">
        <v>0</v>
      </c>
      <c r="I12" s="6">
        <v>0</v>
      </c>
      <c r="J12" s="6">
        <v>0.152</v>
      </c>
      <c r="K12" s="16">
        <v>1</v>
      </c>
      <c r="L12" s="16">
        <v>0</v>
      </c>
      <c r="M12" s="16">
        <v>0</v>
      </c>
      <c r="N12" s="16">
        <v>0</v>
      </c>
      <c r="O12" s="16">
        <v>0</v>
      </c>
      <c r="P12" s="16">
        <v>-0.571</v>
      </c>
      <c r="Q12" s="16">
        <v>0</v>
      </c>
      <c r="R12" s="16">
        <v>0</v>
      </c>
    </row>
    <row r="13" ht="20.25" spans="1:18">
      <c r="A13" s="7" t="s">
        <v>770</v>
      </c>
      <c r="B13" s="7" t="s">
        <v>771</v>
      </c>
      <c r="C13" s="7">
        <v>2123.321</v>
      </c>
      <c r="D13" s="7">
        <v>4072.468</v>
      </c>
      <c r="E13" s="7">
        <v>0</v>
      </c>
      <c r="F13" s="7">
        <v>1</v>
      </c>
      <c r="G13" s="8">
        <v>0</v>
      </c>
      <c r="H13" s="8">
        <v>0</v>
      </c>
      <c r="I13" s="8">
        <v>0</v>
      </c>
      <c r="J13" s="8">
        <v>0.835</v>
      </c>
      <c r="K13" s="16">
        <v>2</v>
      </c>
      <c r="L13" s="16">
        <v>0</v>
      </c>
      <c r="M13" s="16">
        <v>0</v>
      </c>
      <c r="N13" s="16">
        <v>0</v>
      </c>
      <c r="O13" s="16">
        <v>0</v>
      </c>
      <c r="P13" s="16">
        <v>15.197</v>
      </c>
      <c r="Q13" s="16">
        <v>0</v>
      </c>
      <c r="R13" s="16">
        <v>0</v>
      </c>
    </row>
    <row r="14" ht="20.25" spans="1:18">
      <c r="A14" s="7" t="s">
        <v>772</v>
      </c>
      <c r="B14" s="7" t="s">
        <v>773</v>
      </c>
      <c r="C14" s="7">
        <v>9699.271</v>
      </c>
      <c r="D14" s="7">
        <v>12796.757</v>
      </c>
      <c r="E14" s="7">
        <v>0</v>
      </c>
      <c r="F14" s="7">
        <v>1</v>
      </c>
      <c r="G14" s="8">
        <v>0</v>
      </c>
      <c r="H14" s="8">
        <v>0</v>
      </c>
      <c r="I14" s="8">
        <v>0</v>
      </c>
      <c r="J14" s="8">
        <v>0.418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0.013</v>
      </c>
      <c r="Q14" s="16">
        <v>0</v>
      </c>
      <c r="R14" s="16">
        <v>0</v>
      </c>
    </row>
    <row r="15" ht="20.25" spans="1:18">
      <c r="A15" s="9" t="s">
        <v>774</v>
      </c>
      <c r="B15" s="9" t="s">
        <v>775</v>
      </c>
      <c r="C15" s="9">
        <v>3500.725</v>
      </c>
      <c r="D15" s="9">
        <v>4135.589</v>
      </c>
      <c r="E15" s="9">
        <v>0</v>
      </c>
      <c r="F15" s="9">
        <v>0</v>
      </c>
      <c r="G15" s="9">
        <v>0</v>
      </c>
      <c r="H15" s="9">
        <v>1</v>
      </c>
      <c r="I15" s="6">
        <v>1.604</v>
      </c>
      <c r="J15" s="6">
        <v>16.709</v>
      </c>
      <c r="K15" s="16">
        <v>4</v>
      </c>
      <c r="L15" s="16">
        <v>2</v>
      </c>
      <c r="M15" s="16">
        <v>0</v>
      </c>
      <c r="N15" s="16">
        <v>0</v>
      </c>
      <c r="O15" s="16">
        <v>0</v>
      </c>
      <c r="P15" s="16">
        <v>1.144</v>
      </c>
      <c r="Q15" s="16">
        <v>0</v>
      </c>
      <c r="R15" s="16">
        <v>0</v>
      </c>
    </row>
    <row r="16" ht="20.25" spans="1:18">
      <c r="A16" s="9" t="s">
        <v>776</v>
      </c>
      <c r="B16" s="9" t="s">
        <v>777</v>
      </c>
      <c r="C16" s="9">
        <v>546.94</v>
      </c>
      <c r="D16" s="9">
        <v>588.966</v>
      </c>
      <c r="E16" s="9">
        <v>0</v>
      </c>
      <c r="F16" s="9">
        <v>0</v>
      </c>
      <c r="G16" s="9">
        <v>0</v>
      </c>
      <c r="H16" s="9">
        <v>1</v>
      </c>
      <c r="I16" s="6">
        <v>1.544</v>
      </c>
      <c r="J16" s="6">
        <v>8.569</v>
      </c>
      <c r="K16" s="16">
        <v>4</v>
      </c>
      <c r="L16" s="16">
        <v>2</v>
      </c>
      <c r="M16" s="16">
        <v>0</v>
      </c>
      <c r="N16" s="16">
        <v>0</v>
      </c>
      <c r="O16" s="16">
        <v>0</v>
      </c>
      <c r="P16" s="16">
        <v>-0.673</v>
      </c>
      <c r="Q16" s="16">
        <v>0</v>
      </c>
      <c r="R16" s="16">
        <v>0</v>
      </c>
    </row>
    <row r="17" ht="20.25" spans="1:18">
      <c r="A17" s="9" t="s">
        <v>778</v>
      </c>
      <c r="B17" s="9" t="s">
        <v>779</v>
      </c>
      <c r="C17" s="9">
        <v>15209.26</v>
      </c>
      <c r="D17" s="9">
        <v>17532.572</v>
      </c>
      <c r="E17" s="9">
        <v>0</v>
      </c>
      <c r="F17" s="9">
        <v>0</v>
      </c>
      <c r="G17" s="9">
        <v>0</v>
      </c>
      <c r="H17" s="9">
        <v>1</v>
      </c>
      <c r="I17" s="6">
        <v>7.675</v>
      </c>
      <c r="J17" s="6">
        <v>19.909</v>
      </c>
      <c r="K17" s="16">
        <v>4</v>
      </c>
      <c r="L17" s="16">
        <v>2</v>
      </c>
      <c r="M17" s="16">
        <v>-1</v>
      </c>
      <c r="N17" s="16">
        <v>0</v>
      </c>
      <c r="O17" s="16">
        <v>0</v>
      </c>
      <c r="P17" s="16">
        <v>33.093</v>
      </c>
      <c r="Q17" s="16">
        <v>0</v>
      </c>
      <c r="R17" s="16">
        <v>0</v>
      </c>
    </row>
    <row r="18" ht="20.25" spans="1:18">
      <c r="A18" s="9" t="s">
        <v>780</v>
      </c>
      <c r="B18" s="9" t="s">
        <v>781</v>
      </c>
      <c r="C18" s="9">
        <v>7270.209</v>
      </c>
      <c r="D18" s="9">
        <v>8070.605</v>
      </c>
      <c r="E18" s="9">
        <v>0</v>
      </c>
      <c r="F18" s="9">
        <v>0</v>
      </c>
      <c r="G18" s="9">
        <v>0</v>
      </c>
      <c r="H18" s="9">
        <v>1</v>
      </c>
      <c r="I18" s="6">
        <v>5.849</v>
      </c>
      <c r="J18" s="6">
        <v>15.187</v>
      </c>
      <c r="K18" s="16">
        <v>4</v>
      </c>
      <c r="L18" s="16">
        <v>2</v>
      </c>
      <c r="M18" s="16">
        <v>-1</v>
      </c>
      <c r="N18" s="16">
        <v>1</v>
      </c>
      <c r="O18" s="16">
        <v>0</v>
      </c>
      <c r="P18" s="16">
        <v>1.344</v>
      </c>
      <c r="Q18" s="16">
        <v>0</v>
      </c>
      <c r="R18" s="16">
        <v>0</v>
      </c>
    </row>
    <row r="19" ht="20.25" spans="1:18">
      <c r="A19" s="9" t="s">
        <v>782</v>
      </c>
      <c r="B19" s="9" t="s">
        <v>783</v>
      </c>
      <c r="C19" s="9">
        <v>8035.219</v>
      </c>
      <c r="D19" s="9">
        <v>9124.959</v>
      </c>
      <c r="E19" s="9">
        <v>0</v>
      </c>
      <c r="F19" s="9">
        <v>0</v>
      </c>
      <c r="G19" s="9">
        <v>0</v>
      </c>
      <c r="H19" s="9">
        <v>1</v>
      </c>
      <c r="I19" s="6">
        <v>3.816</v>
      </c>
      <c r="J19" s="6">
        <v>15.303</v>
      </c>
      <c r="K19" s="16">
        <v>4</v>
      </c>
      <c r="L19" s="16">
        <v>1</v>
      </c>
      <c r="M19" s="16">
        <v>-1</v>
      </c>
      <c r="N19" s="16">
        <v>1</v>
      </c>
      <c r="O19" s="16">
        <v>0</v>
      </c>
      <c r="P19" s="16">
        <v>4.6</v>
      </c>
      <c r="Q19" s="16">
        <v>0</v>
      </c>
      <c r="R19" s="16">
        <v>0</v>
      </c>
    </row>
    <row r="20" ht="20.25" spans="1:18">
      <c r="A20" s="9" t="s">
        <v>784</v>
      </c>
      <c r="B20" s="9" t="s">
        <v>785</v>
      </c>
      <c r="C20" s="9">
        <v>3260.39</v>
      </c>
      <c r="D20" s="9">
        <v>3567.712</v>
      </c>
      <c r="E20" s="9">
        <v>0</v>
      </c>
      <c r="F20" s="9">
        <v>0</v>
      </c>
      <c r="G20" s="9">
        <v>0</v>
      </c>
      <c r="H20" s="9">
        <v>1</v>
      </c>
      <c r="I20" s="6">
        <v>6.795</v>
      </c>
      <c r="J20" s="6">
        <v>14.823</v>
      </c>
      <c r="K20" s="16">
        <v>4</v>
      </c>
      <c r="L20" s="16">
        <v>2</v>
      </c>
      <c r="M20" s="16">
        <v>-1</v>
      </c>
      <c r="N20" s="16">
        <v>1</v>
      </c>
      <c r="O20" s="16">
        <v>0</v>
      </c>
      <c r="P20" s="16">
        <v>36.979</v>
      </c>
      <c r="Q20" s="16">
        <v>1</v>
      </c>
      <c r="R20" s="16">
        <v>0</v>
      </c>
    </row>
    <row r="21" ht="20.25" spans="1:18">
      <c r="A21" s="9" t="s">
        <v>786</v>
      </c>
      <c r="B21" s="9" t="s">
        <v>787</v>
      </c>
      <c r="C21" s="9">
        <v>2269.401</v>
      </c>
      <c r="D21" s="9">
        <v>2455.316</v>
      </c>
      <c r="E21" s="9">
        <v>0</v>
      </c>
      <c r="F21" s="9">
        <v>0</v>
      </c>
      <c r="G21" s="9">
        <v>0</v>
      </c>
      <c r="H21" s="9">
        <v>1</v>
      </c>
      <c r="I21" s="6">
        <v>7.472</v>
      </c>
      <c r="J21" s="6">
        <v>14.478</v>
      </c>
      <c r="K21" s="16">
        <v>4</v>
      </c>
      <c r="L21" s="16">
        <v>2</v>
      </c>
      <c r="M21" s="16">
        <v>0</v>
      </c>
      <c r="N21" s="16">
        <v>1</v>
      </c>
      <c r="O21" s="16">
        <v>0</v>
      </c>
      <c r="P21" s="16">
        <v>22.13</v>
      </c>
      <c r="Q21" s="16">
        <v>1</v>
      </c>
      <c r="R21" s="16">
        <v>0</v>
      </c>
    </row>
    <row r="22" ht="20.25" spans="1:18">
      <c r="A22" s="9" t="s">
        <v>788</v>
      </c>
      <c r="B22" s="9" t="s">
        <v>789</v>
      </c>
      <c r="C22" s="9">
        <v>101.685</v>
      </c>
      <c r="D22" s="9">
        <v>102.278</v>
      </c>
      <c r="E22" s="9">
        <v>0</v>
      </c>
      <c r="F22" s="9">
        <v>0</v>
      </c>
      <c r="G22" s="9">
        <v>0</v>
      </c>
      <c r="H22" s="9">
        <v>1</v>
      </c>
      <c r="I22" s="6">
        <v>0.053</v>
      </c>
      <c r="J22" s="6">
        <v>0.632</v>
      </c>
      <c r="K22" s="16">
        <v>3</v>
      </c>
      <c r="L22" s="16">
        <v>2</v>
      </c>
      <c r="M22" s="16">
        <v>0</v>
      </c>
      <c r="N22" s="16">
        <v>0</v>
      </c>
      <c r="O22" s="16">
        <v>0</v>
      </c>
      <c r="P22" s="16">
        <v>-0.011</v>
      </c>
      <c r="Q22" s="16">
        <v>0</v>
      </c>
      <c r="R22" s="16">
        <v>-1</v>
      </c>
    </row>
    <row r="23" ht="20.25" spans="1:18">
      <c r="A23" s="9" t="s">
        <v>790</v>
      </c>
      <c r="B23" s="9" t="s">
        <v>791</v>
      </c>
      <c r="C23" s="9">
        <v>11941.443</v>
      </c>
      <c r="D23" s="9">
        <v>13975.741</v>
      </c>
      <c r="E23" s="9">
        <v>0</v>
      </c>
      <c r="F23" s="9">
        <v>0</v>
      </c>
      <c r="G23" s="9">
        <v>0</v>
      </c>
      <c r="H23" s="9">
        <v>1</v>
      </c>
      <c r="I23" s="8">
        <v>4.177</v>
      </c>
      <c r="J23" s="8">
        <v>18.125</v>
      </c>
      <c r="K23" s="16">
        <v>4</v>
      </c>
      <c r="L23" s="16">
        <v>2</v>
      </c>
      <c r="M23" s="16">
        <v>0</v>
      </c>
      <c r="N23" s="16">
        <v>0</v>
      </c>
      <c r="O23" s="16">
        <v>0</v>
      </c>
      <c r="P23" s="16">
        <v>8.995</v>
      </c>
      <c r="Q23" s="16">
        <v>0</v>
      </c>
      <c r="R23" s="16">
        <v>0</v>
      </c>
    </row>
    <row r="24" ht="20.25" spans="1:18">
      <c r="A24" s="10" t="s">
        <v>792</v>
      </c>
      <c r="B24" s="10" t="s">
        <v>793</v>
      </c>
      <c r="C24" s="10">
        <v>967.581</v>
      </c>
      <c r="D24" s="10">
        <v>1188.864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6">
        <v>4</v>
      </c>
      <c r="L24" s="16">
        <v>0</v>
      </c>
      <c r="M24" s="16">
        <v>0</v>
      </c>
      <c r="N24" s="16">
        <v>0</v>
      </c>
      <c r="O24" s="16">
        <v>0</v>
      </c>
      <c r="P24" s="16">
        <v>3.163</v>
      </c>
      <c r="Q24" s="16">
        <v>0</v>
      </c>
      <c r="R24" s="16">
        <v>1</v>
      </c>
    </row>
    <row r="25" ht="20.25" spans="1:18">
      <c r="A25" s="10" t="s">
        <v>794</v>
      </c>
      <c r="B25" s="10" t="s">
        <v>795</v>
      </c>
      <c r="C25" s="10">
        <v>3217.883</v>
      </c>
      <c r="D25" s="10">
        <v>3554.979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6">
        <v>0</v>
      </c>
      <c r="L25" s="16">
        <v>2</v>
      </c>
      <c r="M25" s="16">
        <v>0</v>
      </c>
      <c r="N25" s="16">
        <v>0</v>
      </c>
      <c r="O25" s="16">
        <v>0</v>
      </c>
      <c r="P25" s="16">
        <v>0.485</v>
      </c>
      <c r="Q25" s="16">
        <v>0</v>
      </c>
      <c r="R25" s="16">
        <v>0</v>
      </c>
    </row>
    <row r="26" ht="20.25" spans="1:18">
      <c r="A26" s="10" t="s">
        <v>796</v>
      </c>
      <c r="B26" s="10" t="s">
        <v>797</v>
      </c>
      <c r="C26" s="10">
        <v>2871.377</v>
      </c>
      <c r="D26" s="10">
        <v>3423.064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6">
        <v>0</v>
      </c>
      <c r="L26" s="16">
        <v>2</v>
      </c>
      <c r="M26" s="16">
        <v>0</v>
      </c>
      <c r="N26" s="16">
        <v>0</v>
      </c>
      <c r="O26" s="16">
        <v>0</v>
      </c>
      <c r="P26" s="16">
        <v>-5.13</v>
      </c>
      <c r="Q26" s="16">
        <v>0</v>
      </c>
      <c r="R26" s="16">
        <v>0</v>
      </c>
    </row>
    <row r="27" ht="20.25" spans="1:18">
      <c r="A27" s="10" t="s">
        <v>798</v>
      </c>
      <c r="B27" s="10" t="s">
        <v>799</v>
      </c>
      <c r="C27" s="10">
        <v>4218.964</v>
      </c>
      <c r="D27" s="10">
        <v>4498.62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6">
        <v>0</v>
      </c>
      <c r="L27" s="16">
        <v>2</v>
      </c>
      <c r="M27" s="16">
        <v>0</v>
      </c>
      <c r="N27" s="16">
        <v>0</v>
      </c>
      <c r="O27" s="16">
        <v>0</v>
      </c>
      <c r="P27" s="16">
        <v>8.191</v>
      </c>
      <c r="Q27" s="16">
        <v>0</v>
      </c>
      <c r="R27" s="16">
        <v>0</v>
      </c>
    </row>
    <row r="28" ht="20.25" spans="1:18">
      <c r="A28" s="10" t="s">
        <v>800</v>
      </c>
      <c r="B28" s="10" t="s">
        <v>801</v>
      </c>
      <c r="C28" s="10">
        <v>181.184</v>
      </c>
      <c r="D28" s="10">
        <v>317.776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6">
        <v>3</v>
      </c>
      <c r="L28" s="16">
        <v>0</v>
      </c>
      <c r="M28" s="16">
        <v>0</v>
      </c>
      <c r="N28" s="16">
        <v>0</v>
      </c>
      <c r="O28" s="16">
        <v>0</v>
      </c>
      <c r="P28" s="16">
        <v>-1.276</v>
      </c>
      <c r="Q28" s="16">
        <v>0</v>
      </c>
      <c r="R28" s="16">
        <v>-1</v>
      </c>
    </row>
    <row r="29" ht="20.25" spans="1:18">
      <c r="A29" s="10" t="s">
        <v>802</v>
      </c>
      <c r="B29" s="10" t="s">
        <v>803</v>
      </c>
      <c r="C29" s="10">
        <v>2236.264</v>
      </c>
      <c r="D29" s="10">
        <v>2485.422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6">
        <v>0</v>
      </c>
      <c r="L29" s="16">
        <v>2</v>
      </c>
      <c r="M29" s="16">
        <v>0</v>
      </c>
      <c r="N29" s="16">
        <v>0</v>
      </c>
      <c r="O29" s="16">
        <v>1</v>
      </c>
      <c r="P29" s="16">
        <v>6.146</v>
      </c>
      <c r="Q29" s="16">
        <v>0</v>
      </c>
      <c r="R29" s="16">
        <v>1</v>
      </c>
    </row>
    <row r="30" ht="20.25" spans="1:18">
      <c r="A30" s="10" t="s">
        <v>804</v>
      </c>
      <c r="B30" s="10" t="s">
        <v>805</v>
      </c>
      <c r="C30" s="10">
        <v>2618.226</v>
      </c>
      <c r="D30" s="10">
        <v>2866.919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6">
        <v>0</v>
      </c>
      <c r="L30" s="16">
        <v>2</v>
      </c>
      <c r="M30" s="16">
        <v>0</v>
      </c>
      <c r="N30" s="16">
        <v>0</v>
      </c>
      <c r="O30" s="16">
        <v>0</v>
      </c>
      <c r="P30" s="16">
        <v>2.672</v>
      </c>
      <c r="Q30" s="16">
        <v>0</v>
      </c>
      <c r="R30" s="16">
        <v>0</v>
      </c>
    </row>
    <row r="31" ht="20.25" spans="1:18">
      <c r="A31" s="10" t="s">
        <v>806</v>
      </c>
      <c r="B31" s="10" t="s">
        <v>807</v>
      </c>
      <c r="C31" s="10">
        <v>1313.572</v>
      </c>
      <c r="D31" s="10">
        <v>1461.375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6">
        <v>1</v>
      </c>
      <c r="L31" s="16">
        <v>0</v>
      </c>
      <c r="M31" s="16">
        <v>0</v>
      </c>
      <c r="N31" s="16">
        <v>1</v>
      </c>
      <c r="O31" s="16">
        <v>0</v>
      </c>
      <c r="P31" s="16">
        <v>1.216</v>
      </c>
      <c r="Q31" s="16">
        <v>0</v>
      </c>
      <c r="R31" s="16">
        <v>0</v>
      </c>
    </row>
    <row r="32" ht="20.25" spans="1:18">
      <c r="A32" s="10" t="s">
        <v>808</v>
      </c>
      <c r="B32" s="10" t="s">
        <v>809</v>
      </c>
      <c r="C32" s="10">
        <v>1246.21</v>
      </c>
      <c r="D32" s="10">
        <v>1747.21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6">
        <v>1</v>
      </c>
      <c r="L32" s="16">
        <v>2</v>
      </c>
      <c r="M32" s="16">
        <v>-1</v>
      </c>
      <c r="N32" s="16">
        <v>1</v>
      </c>
      <c r="O32" s="16">
        <v>0</v>
      </c>
      <c r="P32" s="16">
        <v>10.474</v>
      </c>
      <c r="Q32" s="16">
        <v>0</v>
      </c>
      <c r="R32" s="16">
        <v>0</v>
      </c>
    </row>
    <row r="33" ht="20.25" spans="1:18">
      <c r="A33" s="10" t="s">
        <v>810</v>
      </c>
      <c r="B33" s="10" t="s">
        <v>811</v>
      </c>
      <c r="C33" s="10">
        <v>2627.982</v>
      </c>
      <c r="D33" s="10">
        <v>3237.309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6">
        <v>2</v>
      </c>
      <c r="L33" s="16">
        <v>0</v>
      </c>
      <c r="M33" s="16">
        <v>1</v>
      </c>
      <c r="N33" s="16">
        <v>-1</v>
      </c>
      <c r="O33" s="16">
        <v>0</v>
      </c>
      <c r="P33" s="16">
        <v>7.748</v>
      </c>
      <c r="Q33" s="16">
        <v>0</v>
      </c>
      <c r="R33" s="16">
        <v>0</v>
      </c>
    </row>
    <row r="34" ht="20.25" spans="1:18">
      <c r="A34" s="10" t="s">
        <v>812</v>
      </c>
      <c r="B34" s="10" t="s">
        <v>813</v>
      </c>
      <c r="C34" s="10">
        <v>8233.24</v>
      </c>
      <c r="D34" s="10">
        <v>8917.472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10.513</v>
      </c>
      <c r="Q34" s="16">
        <v>0</v>
      </c>
      <c r="R34" s="16">
        <v>0</v>
      </c>
    </row>
    <row r="35" ht="20.25" spans="1:18">
      <c r="A35" s="10" t="s">
        <v>814</v>
      </c>
      <c r="B35" s="10" t="s">
        <v>815</v>
      </c>
      <c r="C35" s="10">
        <v>7572.309</v>
      </c>
      <c r="D35" s="10">
        <v>8802.292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6">
        <v>1</v>
      </c>
      <c r="L35" s="16">
        <v>1</v>
      </c>
      <c r="M35" s="16">
        <v>0</v>
      </c>
      <c r="N35" s="16">
        <v>1</v>
      </c>
      <c r="O35" s="16">
        <v>0</v>
      </c>
      <c r="P35" s="16">
        <v>23.905</v>
      </c>
      <c r="Q35" s="16">
        <v>0</v>
      </c>
      <c r="R35" s="16">
        <v>0</v>
      </c>
    </row>
    <row r="36" ht="20.25" spans="1:18">
      <c r="A36" s="10" t="s">
        <v>816</v>
      </c>
      <c r="B36" s="10" t="s">
        <v>817</v>
      </c>
      <c r="C36" s="10">
        <v>2544.073</v>
      </c>
      <c r="D36" s="10">
        <v>3003.527</v>
      </c>
      <c r="E36" s="10">
        <v>0</v>
      </c>
      <c r="F36" s="10">
        <v>0</v>
      </c>
      <c r="G36" s="10">
        <v>1</v>
      </c>
      <c r="H36" s="6">
        <v>0</v>
      </c>
      <c r="I36" s="6">
        <v>0</v>
      </c>
      <c r="J36" s="6">
        <v>0</v>
      </c>
      <c r="K36" s="16">
        <v>4</v>
      </c>
      <c r="L36" s="16">
        <v>0</v>
      </c>
      <c r="M36" s="16">
        <v>0</v>
      </c>
      <c r="N36" s="16">
        <v>1</v>
      </c>
      <c r="O36" s="16">
        <v>0</v>
      </c>
      <c r="P36" s="16">
        <v>3.728</v>
      </c>
      <c r="Q36" s="16">
        <v>0</v>
      </c>
      <c r="R36" s="16">
        <v>0</v>
      </c>
    </row>
    <row r="37" ht="20.25" spans="1:18">
      <c r="A37" s="10" t="s">
        <v>818</v>
      </c>
      <c r="B37" s="10" t="s">
        <v>819</v>
      </c>
      <c r="C37" s="10">
        <v>6413.195</v>
      </c>
      <c r="D37" s="10">
        <v>9165.533</v>
      </c>
      <c r="E37" s="10">
        <v>0</v>
      </c>
      <c r="F37" s="10">
        <v>0</v>
      </c>
      <c r="G37" s="10">
        <v>1</v>
      </c>
      <c r="H37" s="6">
        <v>0</v>
      </c>
      <c r="I37" s="6">
        <v>0</v>
      </c>
      <c r="J37" s="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7.672</v>
      </c>
      <c r="Q37" s="16">
        <v>0</v>
      </c>
      <c r="R37" s="16">
        <v>0</v>
      </c>
    </row>
    <row r="38" ht="20.25" spans="1:18">
      <c r="A38" s="10" t="s">
        <v>820</v>
      </c>
      <c r="B38" s="10" t="s">
        <v>821</v>
      </c>
      <c r="C38" s="10">
        <v>5287.408</v>
      </c>
      <c r="D38" s="10">
        <v>6122.016</v>
      </c>
      <c r="E38" s="10">
        <v>0</v>
      </c>
      <c r="F38" s="10">
        <v>0</v>
      </c>
      <c r="G38" s="10">
        <v>1</v>
      </c>
      <c r="H38" s="6">
        <v>0</v>
      </c>
      <c r="I38" s="6">
        <v>0</v>
      </c>
      <c r="J38" s="6">
        <v>0</v>
      </c>
      <c r="K38" s="16">
        <v>1</v>
      </c>
      <c r="L38" s="16">
        <v>2</v>
      </c>
      <c r="M38" s="16">
        <v>0</v>
      </c>
      <c r="N38" s="16">
        <v>1</v>
      </c>
      <c r="O38" s="16">
        <v>0</v>
      </c>
      <c r="P38" s="16">
        <v>13.795</v>
      </c>
      <c r="Q38" s="16">
        <v>0</v>
      </c>
      <c r="R38" s="16">
        <v>0</v>
      </c>
    </row>
    <row r="39" ht="20.25" spans="1:18">
      <c r="A39" s="10" t="s">
        <v>822</v>
      </c>
      <c r="B39" s="10" t="s">
        <v>823</v>
      </c>
      <c r="C39" s="10">
        <v>532.857</v>
      </c>
      <c r="D39" s="10">
        <v>640.801</v>
      </c>
      <c r="E39" s="10">
        <v>0</v>
      </c>
      <c r="F39" s="10">
        <v>0</v>
      </c>
      <c r="G39" s="10">
        <v>1</v>
      </c>
      <c r="H39" s="8">
        <v>0</v>
      </c>
      <c r="I39" s="8">
        <v>0</v>
      </c>
      <c r="J39" s="8">
        <v>0</v>
      </c>
      <c r="K39" s="16">
        <v>0</v>
      </c>
      <c r="L39" s="16">
        <v>2</v>
      </c>
      <c r="M39" s="16">
        <v>0</v>
      </c>
      <c r="N39" s="16">
        <v>0</v>
      </c>
      <c r="O39" s="16">
        <v>0</v>
      </c>
      <c r="P39" s="16">
        <v>0.298</v>
      </c>
      <c r="Q39" s="16">
        <v>0</v>
      </c>
      <c r="R39" s="16">
        <v>0</v>
      </c>
    </row>
    <row r="40" ht="20.25" spans="1:18">
      <c r="A40" s="11"/>
      <c r="B40" s="11"/>
      <c r="C40" s="11"/>
      <c r="D40" s="11"/>
      <c r="E40" s="11"/>
      <c r="F40" s="11"/>
      <c r="G40" s="11"/>
      <c r="H40" s="12"/>
      <c r="I40" s="12"/>
      <c r="J40" s="12"/>
      <c r="K40" s="17"/>
      <c r="L40" s="17"/>
      <c r="M40" s="17"/>
      <c r="N40" s="17"/>
      <c r="O40" s="17"/>
      <c r="P40" s="17"/>
      <c r="Q40" s="17"/>
      <c r="R40" s="17"/>
    </row>
    <row r="41" ht="20.25" spans="1:18">
      <c r="A41" s="11"/>
      <c r="B41" s="11"/>
      <c r="C41" s="11"/>
      <c r="D41" s="11"/>
      <c r="E41" s="11"/>
      <c r="F41" s="11"/>
      <c r="G41" s="11"/>
      <c r="H41" s="12"/>
      <c r="I41" s="12"/>
      <c r="J41" s="12"/>
      <c r="K41" s="17"/>
      <c r="L41" s="17"/>
      <c r="M41" s="17"/>
      <c r="N41" s="17"/>
      <c r="O41" s="17"/>
      <c r="P41" s="17"/>
      <c r="Q41" s="17"/>
      <c r="R41" s="17"/>
    </row>
    <row r="42" ht="20.25" spans="1:18">
      <c r="A42" s="11"/>
      <c r="B42" s="11"/>
      <c r="C42" s="11"/>
      <c r="D42" s="11"/>
      <c r="E42" s="11"/>
      <c r="F42" s="11"/>
      <c r="G42" s="11"/>
      <c r="H42" s="12"/>
      <c r="I42" s="12"/>
      <c r="J42" s="12"/>
      <c r="K42" s="17"/>
      <c r="L42" s="17"/>
      <c r="M42" s="17"/>
      <c r="N42" s="17"/>
      <c r="O42" s="17"/>
      <c r="P42" s="17"/>
      <c r="Q42" s="17"/>
      <c r="R42" s="17"/>
    </row>
    <row r="43" ht="20.25" spans="1:18">
      <c r="A43" s="11"/>
      <c r="B43" s="11"/>
      <c r="C43" s="11"/>
      <c r="D43" s="11"/>
      <c r="E43" s="11"/>
      <c r="F43" s="11"/>
      <c r="G43" s="11"/>
      <c r="H43" s="12"/>
      <c r="I43" s="12"/>
      <c r="J43" s="12"/>
      <c r="K43" s="17"/>
      <c r="L43" s="17"/>
      <c r="M43" s="17"/>
      <c r="N43" s="17"/>
      <c r="O43" s="17"/>
      <c r="P43" s="17"/>
      <c r="Q43" s="17"/>
      <c r="R43" s="17"/>
    </row>
    <row r="44" ht="20.25" spans="1:18">
      <c r="A44" s="11"/>
      <c r="B44" s="11"/>
      <c r="C44" s="11"/>
      <c r="D44" s="11"/>
      <c r="E44" s="11"/>
      <c r="F44" s="11"/>
      <c r="G44" s="11"/>
      <c r="H44" s="12"/>
      <c r="I44" s="12"/>
      <c r="J44" s="12"/>
      <c r="K44" s="17"/>
      <c r="L44" s="17"/>
      <c r="M44" s="17"/>
      <c r="N44" s="17"/>
      <c r="O44" s="17"/>
      <c r="P44" s="17"/>
      <c r="Q44" s="17"/>
      <c r="R44" s="17"/>
    </row>
    <row r="45" ht="20.25" spans="1:18">
      <c r="A45" s="11"/>
      <c r="B45" s="11"/>
      <c r="C45" s="11"/>
      <c r="D45" s="11"/>
      <c r="E45" s="11"/>
      <c r="F45" s="11"/>
      <c r="G45" s="11"/>
      <c r="H45" s="12"/>
      <c r="I45" s="12"/>
      <c r="J45" s="12"/>
      <c r="K45" s="17"/>
      <c r="L45" s="17"/>
      <c r="M45" s="17"/>
      <c r="N45" s="17"/>
      <c r="O45" s="17"/>
      <c r="P45" s="17"/>
      <c r="Q45" s="17"/>
      <c r="R45" s="17"/>
    </row>
    <row r="46" ht="20.25" spans="1:18">
      <c r="A46" s="11"/>
      <c r="B46" s="11"/>
      <c r="C46" s="11"/>
      <c r="D46" s="11"/>
      <c r="E46" s="11"/>
      <c r="F46" s="11"/>
      <c r="G46" s="11"/>
      <c r="H46" s="12"/>
      <c r="I46" s="12"/>
      <c r="J46" s="12"/>
      <c r="K46" s="17"/>
      <c r="L46" s="17"/>
      <c r="M46" s="17"/>
      <c r="N46" s="17"/>
      <c r="O46" s="17"/>
      <c r="P46" s="17"/>
      <c r="Q46" s="17"/>
      <c r="R46" s="17"/>
    </row>
    <row r="47" ht="20.25" spans="1:18">
      <c r="A47" s="11"/>
      <c r="B47" s="11"/>
      <c r="C47" s="11"/>
      <c r="D47" s="11"/>
      <c r="E47" s="11"/>
      <c r="F47" s="11"/>
      <c r="G47" s="11"/>
      <c r="H47" s="12"/>
      <c r="I47" s="12"/>
      <c r="J47" s="12"/>
      <c r="K47" s="17"/>
      <c r="L47" s="17"/>
      <c r="M47" s="17"/>
      <c r="N47" s="17"/>
      <c r="O47" s="17"/>
      <c r="P47" s="17"/>
      <c r="Q47" s="17"/>
      <c r="R47" s="17"/>
    </row>
    <row r="48" ht="20.25" spans="1:18">
      <c r="A48" s="11"/>
      <c r="B48" s="11"/>
      <c r="C48" s="11"/>
      <c r="D48" s="11"/>
      <c r="E48" s="11"/>
      <c r="F48" s="11"/>
      <c r="G48" s="11"/>
      <c r="H48" s="12"/>
      <c r="I48" s="12"/>
      <c r="J48" s="12"/>
      <c r="K48" s="17"/>
      <c r="L48" s="17"/>
      <c r="M48" s="17"/>
      <c r="N48" s="17"/>
      <c r="O48" s="17"/>
      <c r="P48" s="17"/>
      <c r="Q48" s="17"/>
      <c r="R48" s="17"/>
    </row>
    <row r="49" ht="20.25" spans="1:18">
      <c r="A49" s="11"/>
      <c r="B49" s="11"/>
      <c r="C49" s="11"/>
      <c r="D49" s="11"/>
      <c r="E49" s="11"/>
      <c r="F49" s="11"/>
      <c r="G49" s="11"/>
      <c r="H49" s="12"/>
      <c r="I49" s="12"/>
      <c r="J49" s="12"/>
      <c r="K49" s="17"/>
      <c r="L49" s="17"/>
      <c r="M49" s="17"/>
      <c r="N49" s="17"/>
      <c r="O49" s="17"/>
      <c r="P49" s="17"/>
      <c r="Q49" s="17"/>
      <c r="R49" s="17"/>
    </row>
    <row r="50" ht="20.25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7"/>
      <c r="L50" s="17"/>
      <c r="M50" s="17"/>
      <c r="N50" s="17"/>
      <c r="O50" s="17"/>
      <c r="P50" s="17"/>
      <c r="Q50" s="17"/>
      <c r="R50" s="17"/>
    </row>
    <row r="51" ht="20.25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7"/>
      <c r="L51" s="17"/>
      <c r="M51" s="17"/>
      <c r="N51" s="17"/>
      <c r="O51" s="17"/>
      <c r="P51" s="17"/>
      <c r="Q51" s="17"/>
      <c r="R51" s="17"/>
    </row>
    <row r="52" ht="20.25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7"/>
      <c r="L52" s="17"/>
      <c r="M52" s="17"/>
      <c r="N52" s="17"/>
      <c r="O52" s="17"/>
      <c r="P52" s="17"/>
      <c r="Q52" s="17"/>
      <c r="R52" s="17"/>
    </row>
    <row r="53" ht="20.25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7"/>
      <c r="L53" s="17"/>
      <c r="M53" s="17"/>
      <c r="N53" s="17"/>
      <c r="O53" s="17"/>
      <c r="P53" s="17"/>
      <c r="Q53" s="17"/>
      <c r="R53" s="17"/>
    </row>
    <row r="54" ht="20.25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7"/>
      <c r="L54" s="17"/>
      <c r="M54" s="17"/>
      <c r="N54" s="17"/>
      <c r="O54" s="17"/>
      <c r="P54" s="17"/>
      <c r="Q54" s="17"/>
      <c r="R54" s="17"/>
    </row>
    <row r="55" ht="20.25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7"/>
      <c r="L55" s="17"/>
      <c r="M55" s="17"/>
      <c r="N55" s="17"/>
      <c r="O55" s="17"/>
      <c r="P55" s="17"/>
      <c r="Q55" s="17"/>
      <c r="R55" s="17"/>
    </row>
    <row r="56" ht="20.25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7"/>
      <c r="L56" s="17"/>
      <c r="M56" s="17"/>
      <c r="N56" s="17"/>
      <c r="O56" s="17"/>
      <c r="P56" s="17"/>
      <c r="Q56" s="17"/>
      <c r="R56" s="17"/>
    </row>
    <row r="57" ht="20.25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7"/>
      <c r="L57" s="17"/>
      <c r="M57" s="17"/>
      <c r="N57" s="17"/>
      <c r="O57" s="17"/>
      <c r="P57" s="17"/>
      <c r="Q57" s="17"/>
      <c r="R57" s="17"/>
    </row>
    <row r="58" ht="20.25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7"/>
      <c r="L58" s="17"/>
      <c r="M58" s="17"/>
      <c r="N58" s="17"/>
      <c r="O58" s="17"/>
      <c r="P58" s="17"/>
      <c r="Q58" s="17"/>
      <c r="R58" s="17"/>
    </row>
    <row r="59" ht="20.25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7"/>
      <c r="L59" s="17"/>
      <c r="M59" s="17"/>
      <c r="N59" s="17"/>
      <c r="O59" s="17"/>
      <c r="P59" s="17"/>
      <c r="Q59" s="17"/>
      <c r="R59" s="17"/>
    </row>
    <row r="60" ht="20.25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7"/>
      <c r="L60" s="17"/>
      <c r="M60" s="17"/>
      <c r="N60" s="17"/>
      <c r="O60" s="17"/>
      <c r="P60" s="17"/>
      <c r="Q60" s="17"/>
      <c r="R60" s="17"/>
    </row>
    <row r="61" ht="20.25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7"/>
      <c r="L61" s="17"/>
      <c r="M61" s="17"/>
      <c r="N61" s="17"/>
      <c r="O61" s="17"/>
      <c r="P61" s="17"/>
      <c r="Q61" s="17"/>
      <c r="R61" s="17"/>
    </row>
    <row r="62" ht="20.25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7"/>
      <c r="L62" s="17"/>
      <c r="M62" s="17"/>
      <c r="N62" s="17"/>
      <c r="O62" s="17"/>
      <c r="P62" s="17"/>
      <c r="Q62" s="17"/>
      <c r="R62" s="17"/>
    </row>
    <row r="63" ht="20.25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7"/>
      <c r="L63" s="17"/>
      <c r="M63" s="17"/>
      <c r="N63" s="17"/>
      <c r="O63" s="17"/>
      <c r="P63" s="17"/>
      <c r="Q63" s="17"/>
      <c r="R63" s="17"/>
    </row>
    <row r="64" ht="20.25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7"/>
      <c r="L64" s="17"/>
      <c r="M64" s="17"/>
      <c r="N64" s="17"/>
      <c r="O64" s="17"/>
      <c r="P64" s="17"/>
      <c r="Q64" s="17"/>
      <c r="R64" s="17"/>
    </row>
    <row r="65" ht="20.25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7"/>
      <c r="L65" s="17"/>
      <c r="M65" s="17"/>
      <c r="N65" s="17"/>
      <c r="O65" s="17"/>
      <c r="P65" s="17"/>
      <c r="Q65" s="17"/>
      <c r="R65" s="17"/>
    </row>
    <row r="66" ht="20.25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7"/>
      <c r="L66" s="17"/>
      <c r="M66" s="17"/>
      <c r="N66" s="17"/>
      <c r="O66" s="17"/>
      <c r="P66" s="17"/>
      <c r="Q66" s="17"/>
      <c r="R66" s="17"/>
    </row>
    <row r="67" ht="20.25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7"/>
      <c r="L67" s="17"/>
      <c r="M67" s="17"/>
      <c r="N67" s="17"/>
      <c r="O67" s="17"/>
      <c r="P67" s="17"/>
      <c r="Q67" s="17"/>
      <c r="R67" s="17"/>
    </row>
    <row r="68" ht="20.25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7"/>
      <c r="L68" s="17"/>
      <c r="M68" s="17"/>
      <c r="N68" s="17"/>
      <c r="O68" s="17"/>
      <c r="P68" s="17"/>
      <c r="Q68" s="17"/>
      <c r="R68" s="17"/>
    </row>
    <row r="69" ht="20.25" spans="1:18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7"/>
      <c r="L69" s="17"/>
      <c r="M69" s="17"/>
      <c r="N69" s="17"/>
      <c r="O69" s="17"/>
      <c r="P69" s="17"/>
      <c r="Q69" s="17"/>
      <c r="R69" s="17"/>
    </row>
    <row r="70" ht="20.25" spans="1:18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7"/>
      <c r="L70" s="17"/>
      <c r="M70" s="17"/>
      <c r="N70" s="17"/>
      <c r="O70" s="17"/>
      <c r="P70" s="17"/>
      <c r="Q70" s="17"/>
      <c r="R70" s="17"/>
    </row>
    <row r="71" ht="20.25" spans="1:18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7"/>
      <c r="L71" s="17"/>
      <c r="M71" s="17"/>
      <c r="N71" s="17"/>
      <c r="O71" s="17"/>
      <c r="P71" s="17"/>
      <c r="Q71" s="17"/>
      <c r="R71" s="17"/>
    </row>
    <row r="72" ht="20.25" spans="1:18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7"/>
      <c r="L72" s="17"/>
      <c r="M72" s="17"/>
      <c r="N72" s="17"/>
      <c r="O72" s="17"/>
      <c r="P72" s="17"/>
      <c r="Q72" s="17"/>
      <c r="R72" s="17"/>
    </row>
    <row r="73" ht="20.25" spans="1:18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7"/>
      <c r="L73" s="17"/>
      <c r="M73" s="17"/>
      <c r="N73" s="17"/>
      <c r="O73" s="17"/>
      <c r="P73" s="17"/>
      <c r="Q73" s="17"/>
      <c r="R73" s="17"/>
    </row>
    <row r="74" ht="20.25" spans="1:18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7"/>
      <c r="L74" s="17"/>
      <c r="M74" s="17"/>
      <c r="N74" s="17"/>
      <c r="O74" s="17"/>
      <c r="P74" s="17"/>
      <c r="Q74" s="17"/>
      <c r="R74" s="17"/>
    </row>
    <row r="75" ht="20.25" spans="1:18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7"/>
      <c r="L75" s="17"/>
      <c r="M75" s="17"/>
      <c r="N75" s="17"/>
      <c r="O75" s="17"/>
      <c r="P75" s="17"/>
      <c r="Q75" s="17"/>
      <c r="R75" s="17"/>
    </row>
    <row r="76" ht="20.25" spans="1:18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7"/>
      <c r="L76" s="17"/>
      <c r="M76" s="17"/>
      <c r="N76" s="17"/>
      <c r="O76" s="17"/>
      <c r="P76" s="17"/>
      <c r="Q76" s="17"/>
      <c r="R76" s="17"/>
    </row>
    <row r="77" ht="20.25" spans="1:18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7"/>
      <c r="L77" s="17"/>
      <c r="M77" s="17"/>
      <c r="N77" s="17"/>
      <c r="O77" s="17"/>
      <c r="P77" s="17"/>
      <c r="Q77" s="17"/>
      <c r="R77" s="17"/>
    </row>
    <row r="78" ht="20.25" spans="1:1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7"/>
      <c r="L78" s="17"/>
      <c r="M78" s="17"/>
      <c r="N78" s="17"/>
      <c r="O78" s="17"/>
      <c r="P78" s="17"/>
      <c r="Q78" s="17"/>
      <c r="R78" s="17"/>
    </row>
    <row r="79" ht="20.25" spans="1:18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7"/>
      <c r="L79" s="17"/>
      <c r="M79" s="17"/>
      <c r="N79" s="17"/>
      <c r="O79" s="17"/>
      <c r="P79" s="17"/>
      <c r="Q79" s="17"/>
      <c r="R79" s="17"/>
    </row>
    <row r="80" ht="20.25" spans="1:18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7"/>
      <c r="L80" s="17"/>
      <c r="M80" s="17"/>
      <c r="N80" s="17"/>
      <c r="O80" s="17"/>
      <c r="P80" s="17"/>
      <c r="Q80" s="17"/>
      <c r="R80" s="17"/>
    </row>
    <row r="81" ht="20.25" spans="1:18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7"/>
      <c r="L81" s="17"/>
      <c r="M81" s="17"/>
      <c r="N81" s="17"/>
      <c r="O81" s="17"/>
      <c r="P81" s="17"/>
      <c r="Q81" s="17"/>
      <c r="R81" s="17"/>
    </row>
    <row r="82" ht="20.25" spans="1:18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7"/>
      <c r="L82" s="17"/>
      <c r="M82" s="17"/>
      <c r="N82" s="17"/>
      <c r="O82" s="17"/>
      <c r="P82" s="17"/>
      <c r="Q82" s="17"/>
      <c r="R82" s="17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2024-09-27T16:21:12Z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66FE56A16CC64C5AA1B07EA7BF53FB3B_13</vt:lpwstr>
  </property>
  <property fmtid="{D5CDD505-2E9C-101B-9397-08002B2CF9AE}" pid="3" name="KSOProductBuildVer">
    <vt:lpwstr>2052-12.1.0.15712</vt:lpwstr>
  </property>
</Properties>
</file>